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9440" windowHeight="7755"/>
  </bookViews>
  <sheets>
    <sheet name="Лист1" sheetId="1" r:id="rId1"/>
    <sheet name="медикаменти" sheetId="2" r:id="rId2"/>
    <sheet name="зп+нарах." sheetId="3" r:id="rId3"/>
    <sheet name="накладні витрати" sheetId="4"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3" l="1"/>
  <c r="C17" i="3"/>
  <c r="C39" i="3" l="1"/>
  <c r="J36" i="1"/>
  <c r="J37" i="1"/>
  <c r="J38" i="1"/>
  <c r="J39" i="1"/>
  <c r="J40" i="1"/>
  <c r="I37" i="1"/>
  <c r="I38" i="1"/>
  <c r="I39" i="1"/>
  <c r="I40" i="1"/>
  <c r="I36" i="1"/>
  <c r="D36" i="1"/>
  <c r="E36" i="1"/>
  <c r="F36" i="1"/>
  <c r="G36" i="1"/>
  <c r="D37" i="1"/>
  <c r="E37" i="1"/>
  <c r="F37" i="1"/>
  <c r="G37" i="1"/>
  <c r="D38" i="1"/>
  <c r="E38" i="1"/>
  <c r="F38" i="1"/>
  <c r="G38" i="1"/>
  <c r="D39" i="1"/>
  <c r="E39" i="1"/>
  <c r="F39" i="1"/>
  <c r="G39" i="1"/>
  <c r="D40" i="1"/>
  <c r="E40" i="1"/>
  <c r="F40" i="1"/>
  <c r="G40" i="1"/>
  <c r="D33" i="3"/>
  <c r="D34" i="3"/>
  <c r="D35" i="3"/>
  <c r="D36" i="3"/>
  <c r="D32" i="3"/>
  <c r="C33" i="3"/>
  <c r="C34" i="3"/>
  <c r="C35" i="3"/>
  <c r="C36" i="3"/>
  <c r="C32" i="3"/>
  <c r="L20" i="1"/>
  <c r="F10" i="1"/>
  <c r="G10" i="1"/>
  <c r="F11" i="1"/>
  <c r="G11" i="1"/>
  <c r="F12" i="1"/>
  <c r="G12" i="1"/>
  <c r="F13" i="1"/>
  <c r="G13" i="1"/>
  <c r="F14" i="1"/>
  <c r="G14" i="1"/>
  <c r="F15" i="1"/>
  <c r="G15" i="1"/>
  <c r="F16" i="1"/>
  <c r="G16" i="1"/>
  <c r="F18" i="1"/>
  <c r="G18" i="1"/>
  <c r="F19" i="1"/>
  <c r="G19" i="1"/>
  <c r="G21" i="1"/>
  <c r="G22" i="1"/>
  <c r="F23" i="1"/>
  <c r="G23" i="1"/>
  <c r="F24" i="1"/>
  <c r="G24" i="1"/>
  <c r="F25" i="1"/>
  <c r="G25" i="1"/>
  <c r="F26" i="1"/>
  <c r="G26" i="1"/>
  <c r="F27" i="1"/>
  <c r="F28" i="1"/>
  <c r="G28" i="1"/>
  <c r="F29" i="1"/>
  <c r="G29" i="1"/>
  <c r="F30" i="1"/>
  <c r="G30" i="1"/>
  <c r="F31" i="1"/>
  <c r="G31" i="1"/>
  <c r="F32" i="1"/>
  <c r="G32" i="1"/>
  <c r="F33" i="1"/>
  <c r="G33" i="1"/>
  <c r="F34" i="1"/>
  <c r="G34" i="1"/>
  <c r="F41" i="1"/>
  <c r="G41" i="1"/>
  <c r="F42" i="1"/>
  <c r="G42" i="1"/>
  <c r="G43" i="1"/>
  <c r="G9" i="1"/>
  <c r="F9" i="1"/>
  <c r="E42" i="1"/>
  <c r="J42" i="1" s="1"/>
  <c r="E43" i="1"/>
  <c r="E41" i="1"/>
  <c r="J41" i="1" s="1"/>
  <c r="E10" i="1"/>
  <c r="E11" i="1"/>
  <c r="E12" i="1"/>
  <c r="E13" i="1"/>
  <c r="E14" i="1"/>
  <c r="E15" i="1"/>
  <c r="E16" i="1"/>
  <c r="E18" i="1"/>
  <c r="J18" i="1" s="1"/>
  <c r="E19" i="1"/>
  <c r="J19" i="1" s="1"/>
  <c r="E21" i="1"/>
  <c r="E22" i="1"/>
  <c r="E23" i="1"/>
  <c r="E24" i="1"/>
  <c r="J24" i="1" s="1"/>
  <c r="E25" i="1"/>
  <c r="J25" i="1" s="1"/>
  <c r="E26" i="1"/>
  <c r="J26" i="1" s="1"/>
  <c r="E27" i="1"/>
  <c r="E28" i="1"/>
  <c r="E29" i="1"/>
  <c r="J29" i="1" s="1"/>
  <c r="E30" i="1"/>
  <c r="J30" i="1" s="1"/>
  <c r="E31" i="1"/>
  <c r="J31" i="1" s="1"/>
  <c r="E32" i="1"/>
  <c r="J32" i="1" s="1"/>
  <c r="E33" i="1"/>
  <c r="J33" i="1" s="1"/>
  <c r="E34" i="1"/>
  <c r="J34" i="1" s="1"/>
  <c r="E9" i="1"/>
  <c r="D10" i="1"/>
  <c r="I10" i="1" s="1"/>
  <c r="D11" i="1"/>
  <c r="I11" i="1" s="1"/>
  <c r="D12" i="1"/>
  <c r="I12" i="1" s="1"/>
  <c r="D13" i="1"/>
  <c r="I13" i="1" s="1"/>
  <c r="D14" i="1"/>
  <c r="I14" i="1" s="1"/>
  <c r="D15" i="1"/>
  <c r="I15" i="1" s="1"/>
  <c r="D16" i="1"/>
  <c r="I16" i="1" s="1"/>
  <c r="D18" i="1"/>
  <c r="I18" i="1" s="1"/>
  <c r="D19" i="1"/>
  <c r="I19" i="1" s="1"/>
  <c r="D21" i="1"/>
  <c r="I21" i="1" s="1"/>
  <c r="D22" i="1"/>
  <c r="D23" i="1"/>
  <c r="I23" i="1" s="1"/>
  <c r="D24" i="1"/>
  <c r="I24" i="1" s="1"/>
  <c r="D25" i="1"/>
  <c r="I25" i="1" s="1"/>
  <c r="D26" i="1"/>
  <c r="I26" i="1" s="1"/>
  <c r="D27" i="1"/>
  <c r="I27" i="1" s="1"/>
  <c r="D28" i="1"/>
  <c r="I28" i="1" s="1"/>
  <c r="D29" i="1"/>
  <c r="I29" i="1" s="1"/>
  <c r="D30" i="1"/>
  <c r="I30" i="1" s="1"/>
  <c r="D31" i="1"/>
  <c r="I31" i="1" s="1"/>
  <c r="D32" i="1"/>
  <c r="I32" i="1" s="1"/>
  <c r="D33" i="1"/>
  <c r="I33" i="1" s="1"/>
  <c r="D34" i="1"/>
  <c r="I34" i="1" s="1"/>
  <c r="D41" i="1"/>
  <c r="I41" i="1" s="1"/>
  <c r="D42" i="1"/>
  <c r="I42" i="1" s="1"/>
  <c r="D43" i="1"/>
  <c r="I43" i="1" s="1"/>
  <c r="D9" i="1"/>
  <c r="I9" i="1" s="1"/>
  <c r="I22" i="1" l="1"/>
  <c r="F23" i="3"/>
  <c r="G4" i="4"/>
  <c r="F4" i="4"/>
  <c r="D4" i="4"/>
  <c r="C4" i="4"/>
  <c r="B4" i="4"/>
  <c r="A4" i="4"/>
  <c r="E4" i="4" l="1"/>
  <c r="H4" i="4" s="1"/>
  <c r="D38" i="3"/>
  <c r="F38" i="3" s="1"/>
  <c r="D27" i="3"/>
  <c r="D26" i="3"/>
  <c r="D25" i="3"/>
  <c r="F25" i="3" s="1"/>
  <c r="D22" i="3"/>
  <c r="D21" i="3"/>
  <c r="F21" i="3"/>
  <c r="D14" i="3"/>
  <c r="F19" i="3"/>
  <c r="F17" i="3"/>
  <c r="F18" i="3"/>
  <c r="F16" i="3"/>
  <c r="F14" i="3"/>
  <c r="D15" i="3"/>
  <c r="F15" i="3" s="1"/>
  <c r="C38" i="3"/>
  <c r="E38" i="3" s="1"/>
  <c r="C37" i="3"/>
  <c r="C29" i="3"/>
  <c r="E29" i="3"/>
  <c r="C28" i="3"/>
  <c r="F27" i="3"/>
  <c r="C27" i="3"/>
  <c r="C19" i="3"/>
  <c r="E19" i="3" s="1"/>
  <c r="C20" i="3"/>
  <c r="E20" i="3" s="1"/>
  <c r="C26" i="3"/>
  <c r="E26" i="3" s="1"/>
  <c r="C25" i="3"/>
  <c r="C24" i="3"/>
  <c r="E24" i="3"/>
  <c r="C23" i="3"/>
  <c r="E23" i="3" s="1"/>
  <c r="C22" i="3"/>
  <c r="C21" i="3"/>
  <c r="C15" i="3"/>
  <c r="E18" i="3"/>
  <c r="F22" i="1" s="1"/>
  <c r="K22" i="1" s="1"/>
  <c r="C14" i="3"/>
  <c r="E15" i="3"/>
  <c r="E17" i="3"/>
  <c r="F21" i="1" s="1"/>
  <c r="K21" i="1" s="1"/>
  <c r="F20" i="3"/>
  <c r="E21" i="3"/>
  <c r="E22" i="3"/>
  <c r="F22" i="3"/>
  <c r="E25" i="3"/>
  <c r="F26" i="3"/>
  <c r="E27" i="3"/>
  <c r="E28" i="3"/>
  <c r="F28" i="3"/>
  <c r="F29" i="3"/>
  <c r="E30" i="3"/>
  <c r="F30" i="3"/>
  <c r="E31" i="3"/>
  <c r="F31" i="3"/>
  <c r="E32" i="3"/>
  <c r="F32" i="3"/>
  <c r="E33" i="3"/>
  <c r="F33" i="3"/>
  <c r="E34" i="3"/>
  <c r="F34" i="3"/>
  <c r="E35" i="3"/>
  <c r="F35" i="3"/>
  <c r="E36" i="3"/>
  <c r="F36" i="3"/>
  <c r="E37" i="3"/>
  <c r="F37" i="3"/>
  <c r="E39" i="3"/>
  <c r="F43" i="1" s="1"/>
  <c r="E14" i="3"/>
  <c r="C12" i="3"/>
  <c r="C36" i="2" l="1"/>
  <c r="C20" i="2"/>
  <c r="C14" i="2" l="1"/>
  <c r="C11" i="3" l="1"/>
  <c r="C10" i="3"/>
  <c r="C9" i="3"/>
  <c r="C8" i="3"/>
  <c r="C7" i="3"/>
  <c r="C6" i="3"/>
  <c r="C5" i="3"/>
  <c r="H23" i="1" l="1"/>
  <c r="H19" i="1"/>
  <c r="H18" i="1"/>
  <c r="D30" i="3" l="1"/>
  <c r="D20" i="3"/>
  <c r="E5" i="3"/>
  <c r="E6" i="3" l="1"/>
  <c r="E7" i="3"/>
  <c r="E8" i="3"/>
  <c r="E9" i="3"/>
  <c r="E10" i="3"/>
  <c r="E11" i="3"/>
  <c r="E12" i="3"/>
  <c r="C4" i="2" l="1"/>
  <c r="C5" i="2"/>
  <c r="C6" i="2"/>
  <c r="C7" i="2"/>
  <c r="C8" i="2"/>
  <c r="C9" i="2"/>
  <c r="C10" i="2"/>
  <c r="C11" i="2"/>
  <c r="C13" i="2"/>
  <c r="C21" i="2"/>
  <c r="C22" i="2"/>
  <c r="C23" i="2"/>
  <c r="C24" i="2"/>
  <c r="C25" i="2"/>
  <c r="C29" i="1" l="1"/>
  <c r="C28" i="1"/>
  <c r="K28" i="1" s="1"/>
  <c r="C26" i="1"/>
  <c r="C19" i="1"/>
  <c r="C11" i="1"/>
  <c r="K11" i="1" s="1"/>
  <c r="C18" i="1"/>
  <c r="C23" i="1"/>
  <c r="K23" i="1" s="1"/>
  <c r="C24" i="1"/>
  <c r="C25" i="1"/>
  <c r="C27" i="1"/>
  <c r="K27" i="1" s="1"/>
  <c r="C30" i="1"/>
  <c r="C31" i="1"/>
  <c r="C32" i="1"/>
  <c r="C33" i="1"/>
  <c r="C34" i="1"/>
  <c r="C36" i="1"/>
  <c r="C37" i="1"/>
  <c r="C38" i="1"/>
  <c r="C39" i="1"/>
  <c r="C40" i="1"/>
  <c r="C41" i="1"/>
  <c r="C42" i="1"/>
  <c r="C43" i="1"/>
  <c r="K43" i="1" s="1"/>
  <c r="C12" i="1"/>
  <c r="K12" i="1" s="1"/>
  <c r="C13" i="1"/>
  <c r="K13" i="1" s="1"/>
  <c r="C14" i="1"/>
  <c r="K14" i="1" s="1"/>
  <c r="C15" i="1"/>
  <c r="K15" i="1" s="1"/>
  <c r="C16" i="1"/>
  <c r="K16" i="1" s="1"/>
  <c r="C10" i="1"/>
  <c r="K10" i="1" s="1"/>
  <c r="C9" i="1"/>
  <c r="K9" i="1" s="1"/>
  <c r="L42" i="1" l="1"/>
  <c r="K42" i="1"/>
  <c r="K40" i="1"/>
  <c r="L40" i="1"/>
  <c r="K38" i="1"/>
  <c r="L38" i="1"/>
  <c r="K36" i="1"/>
  <c r="L36" i="1"/>
  <c r="K33" i="1"/>
  <c r="L33" i="1"/>
  <c r="K31" i="1"/>
  <c r="L31" i="1"/>
  <c r="L24" i="1"/>
  <c r="K24" i="1"/>
  <c r="K18" i="1"/>
  <c r="L18" i="1"/>
  <c r="L19" i="1"/>
  <c r="K19" i="1"/>
  <c r="L41" i="1"/>
  <c r="K41" i="1"/>
  <c r="K39" i="1"/>
  <c r="L39" i="1"/>
  <c r="K37" i="1"/>
  <c r="L37" i="1"/>
  <c r="L34" i="1"/>
  <c r="K34" i="1"/>
  <c r="L32" i="1"/>
  <c r="K32" i="1"/>
  <c r="L30" i="1"/>
  <c r="K30" i="1"/>
  <c r="K25" i="1"/>
  <c r="L25" i="1"/>
  <c r="L26" i="1"/>
  <c r="K26" i="1"/>
  <c r="K29" i="1"/>
  <c r="L29" i="1"/>
</calcChain>
</file>

<file path=xl/sharedStrings.xml><?xml version="1.0" encoding="utf-8"?>
<sst xmlns="http://schemas.openxmlformats.org/spreadsheetml/2006/main" count="212" uniqueCount="95">
  <si>
    <t>№ п/п</t>
  </si>
  <si>
    <t>Прямі витрати</t>
  </si>
  <si>
    <t>На оплату праці</t>
  </si>
  <si>
    <t>ЄСВ</t>
  </si>
  <si>
    <t xml:space="preserve">Амортизаційні </t>
  </si>
  <si>
    <t>Розподілені витрати</t>
  </si>
  <si>
    <t>Усього витрат:</t>
  </si>
  <si>
    <t>Витрати (на одиницю послуги), грн</t>
  </si>
  <si>
    <t>Консультація з приводу планування вагітності(лікування безпліддя)</t>
  </si>
  <si>
    <t>Найменування послуг</t>
  </si>
  <si>
    <t>Лікування хронічного цервіциту.</t>
  </si>
  <si>
    <t>Ендометріоз шийки матки.</t>
  </si>
  <si>
    <t>Лікування поліпів цервікального каналу та шийки матки.</t>
  </si>
  <si>
    <t>Лікування папіломи вульви, піхви.</t>
  </si>
  <si>
    <t>Лікування канділоми вульви, піхви, проміжностей.</t>
  </si>
  <si>
    <t>Медичні огляди:</t>
  </si>
  <si>
    <t>для отримання виїзної візи (крім службових відряджень державних службовців та при виїзді на лікування за наявності відповідних медичних документів);</t>
  </si>
  <si>
    <t>попередні профілактичні медичні огляди при прийнятті на роботу та для отримання посвідчення водія транспортних засобів (крім випадків, коли медичні огляди проводяться за направленнями органів державної служби зайнятості), медичні огляди для отримання дозволу на право отримання та носіння зброї громадянами, а також відповідні періодичні профілактичні медичні огляди.</t>
  </si>
  <si>
    <t>закінчили недержавні вищі медичні (фармацевтичні) заклади освіти;</t>
  </si>
  <si>
    <t>закінчили державні вищі медичні (фармацевтичні) заклади освіти на умовах контракту;</t>
  </si>
  <si>
    <t>прийняті на роботу в недержавні заклади охорони здоров'я (недержавні фармацевтичні заклади, підприємства);</t>
  </si>
  <si>
    <t>повторно проходять інтернатуру;</t>
  </si>
  <si>
    <t>бажають отримати другу спеціальність в інтернатурі.</t>
  </si>
  <si>
    <t>Лабораторні, діагностичні та консультативні послуги за зверненням громадян, що надаються без направлення лікаря, зокрема із застосуванням телемедицини.</t>
  </si>
  <si>
    <t>Медична допомога хворим удома, зокрема із застосуванням телемедицини (діагностичне обстеження, процедури, маніпуляції, консультування, догляд).</t>
  </si>
  <si>
    <t>Медичне обслуговування, зокрема із застосуванням телемедицини, за договорами із суб’єктами господарювання, страховими організаціями (в тому числі з Фондом соціального страхування України).</t>
  </si>
  <si>
    <t>Медичне обслуговування, зокрема числі із застосуванням телемедицини, іноземних громадян, які тимчасово перебувають на території України, в тому числі за договорами страхування.</t>
  </si>
  <si>
    <t>Видача бланків особистої медичної книжки.</t>
  </si>
  <si>
    <t>Стажування лікарів (провізорів) - інтернів у базових закладах та установах охорони здоров'я, якщо ці лікарі (провізори) - інтерни:</t>
  </si>
  <si>
    <t>Підготовка і навчання з відповідною видачею сертифіката працівників немедичних спеціальностей (громадян за їх бажанням) практичним навичкам подання невідкладної медичної допомоги.</t>
  </si>
  <si>
    <t>Видача копії медичної довідки, витягу з історії хвороби.</t>
  </si>
  <si>
    <t>Лікування ерозії шийки матки.</t>
  </si>
  <si>
    <t>Матеріальні(медикаменти+серветики+дезинфіктант+папір)</t>
  </si>
  <si>
    <t>Медичне обслуговування закладів відпочинку всіх типів, спортивних змагань, масових культурних та громадських заходів тощо:</t>
  </si>
  <si>
    <t>Проведення профілактичних щеплень усім особам, які бажають їх зробити поза схемами календаря профілактичних щеплень в Україні.(без урахування вартості вакцини)</t>
  </si>
  <si>
    <t>Проведення профілактичних щеплень особам, які від'їжджають за кордон за викликом, для оздоровлення в зарубіжних лікувальних або санаторних закладах, у туристичні подорожі тощо за власним бажанням або на вимогу сторони, що запрошує(без урахування вартості вакцини).</t>
  </si>
  <si>
    <t>Ін’єкція внутрішньовенна краплинна(без урахування вартості лікарських засобів)</t>
  </si>
  <si>
    <t>Ін’єкція внутрішньовенна струменева(без урахування вартості лікарських засобів)</t>
  </si>
  <si>
    <t>Ін’єкція внутрішньом’язова(без урахування вартості лікарських засобів)</t>
  </si>
  <si>
    <t>Ін’єкція підшкірна(без урахування вартості лікарських засобів)</t>
  </si>
  <si>
    <t>з присутністю лікаря загальної практики сімейної медицини(за 1 год.)</t>
  </si>
  <si>
    <t>з присутністю медичної сестри загальної практики сімейної медицини(за1 год)</t>
  </si>
  <si>
    <t>Транспортні послуги з перевезення пацієнтів, фізичних осіб та вантажів. На 1 км.</t>
  </si>
  <si>
    <t>Медичне обслуговування, зокрема із застосуванням телемедицини, за договорами із суб’єктами господарювання.</t>
  </si>
  <si>
    <t>Лікування ерозивного ектропіону.</t>
  </si>
  <si>
    <t>Видача копії медичної довідки, витягу з амбулаторної картки:                1) папір 10ар. - 2,00грн..</t>
  </si>
  <si>
    <t>Підготовка і навчання практичним навичкам подання невідкладної медичної допомоги.</t>
  </si>
  <si>
    <t>Консультація з приводу планування вагітності(лікування безпліддя):                                                                                             1)оглядовий набір гінекологічний - 18,00грн.;                                         2)серветки паперові 1р. - 8,00грн.;                                                            3)дезінфікуючий розчин 10мл. - 4,00грн.;                                          4)антисептик 6мл.- 2,40грн.;                                                            5)медична картка - 5,40грн.</t>
  </si>
  <si>
    <t>Лікування ерозії шийки матки:                                                                                           1)оглядовий набір гінекологічний - 18,00грн.;                                         2)антисептик 6мл. - 2,40грн.;                                                 3)серветки паперові 1р. - 8,00грн.;                                                            4)дезінфікуючий розчин 70мл. - 28,00грн.;                                                            5)вата 75г. - 18,00грн.;                                                                           6)спирт 50г. - 15,00грн.</t>
  </si>
  <si>
    <t>Лікування ерозивного ектропіону: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</si>
  <si>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Лікування хронічного цервіциту: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</si>
  <si>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Ендометріоз шийки матки: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</si>
  <si>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Лікування поліпів цервікального каналу та шийки матки: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</si>
  <si>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Лікування папіломи вульви, піхви: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</si>
  <si>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Лікування канділоми вульви, піхви, проміжностей:         1)оглядовий набір гінекологічний - 18,00грн.;                                         2)антисептик 6мл. - 2,40грн.;                                                 3)серветки паперові - 8,00грн.;                                                            4)дезінфікуючий розчин 70мл. - 28,00грн.;                                                            5)вата 75г. - 18,00грн.;                                                                           6)спирт 50г. - 15,00грн.</t>
  </si>
  <si>
    <t>для отримання виїзної візи (крім службових відряджень державних службовців та при виїзді на лікування за наявності відповідних медичних документів):                                                                                           1)оглядовий набір гінекологічний - 18,00грн.;                                         2)рукавички стерильні 1п. - 5,00грн.;                                                 3)серветки паперові 1р. - 8,00грн.;                                                            4)дезінфікуючий розчин 10мл. - 4,00грн.;                                                            5)шпатель 1шт. - 2,00грн.;                                                                    6) діаграмна стрічка 2м. - 4,20грн.;                                                     7)антисептик 6мл. - 2,40грн.;                                                               8)вата 5г. - 1,20грн.;                                                                           9)спирт 5г. - 1,50грн</t>
  </si>
  <si>
    <t>попередні профілактичні медичні огляди при прийнятті на роботу та для отримання посвідчення водія транспортних засобів (крім випадків, коли медичні огляди проводяться за направленнями органів державної служби зайнятості), медичні огляди для отримання дозволу на право отримання та носіння зброї громадянами, а також відповідні періодичні профілактичні медичні огляди:                                                                                           1)оглядовий набір гінекологічний - 18,00грн.;                                         2)рукавички стерильні 1п. - 5,00грн.;                                                 3)серветки паперові 1р. - 8,00грн.;                                                            4)дезінфікуючий розчин 10мл. - 4,00грн.;                                                            5)шпатель 1шт. - 2,00грн.;                                                                    6) діаграмна стрічка 2м. - 4,20грн.;                                                     7)антисептик 6мл. - 2,40грн.;                                                               8)вата 5г. - 1,20грн.;                                                                           9)спирт 5г. - 1,50грн</t>
  </si>
  <si>
    <t>Проведення профілактичних щеплень особам, які від'їжджають за кордон за викликом, для оздоровлення в зарубіжних лікувальних або санаторних закладах, у туристичні подорожі тощо за власним бажанням або на вимогу сторони, що запрошує(без урахування вартості вакцини):                                                                                           1)серветка спиртова 5шт. - 1,50грн.;                                         2)шприц-2 - 3,85грн.;                                                                            3)рукавички стерильні - 5,00грн.;                                                        4)серветки паперові 0,25р. - 2,00грн.;                                                            5)дезінфікуючий розчин 5мл. - 2,00грн.;                                                            6)антисептик 5мл. - 2,00грн.;                                                                    6) невідкладна допомога:супрастин -18,00грн.; дексаметазон - 2,00грн; аміак 5мл. - 0,75 грн.; шприц-2к.-1шт. - 2,00 грн..</t>
  </si>
  <si>
    <t>Проведення профілактичних щеплень усім особам, які бажають їх зробити поза схемами календаря профілактичних щеплень в Україні.(без урахування вартості вакцини):                                                                                           1)серветка спиртова 5шт. - 1,50грн.;                                         2)шприц-2 - 3,85грн.;                                                                            3)рукавички стерильні - 5,00грн.;                                                        4)серветки паперові 0,25р. - 2,00грн.;                                                            5)дезінфікуючий розчин 5мл. - 2,00грн.;                                                            6)антисептик 5мл. - 2,00грн.;                                                                    6) невідкладна допомога:супрастин -18,00грн.; дексаметазон - 2,00грн; аміак 5мл. - 0,75 грн.; шприц-2к.-1шт. - 2,00 грн..</t>
  </si>
  <si>
    <t>Ін’єкція внутрішньовенна краплинна(без урахування вартості лікарських засобів):                                                                                           1)серветка спиртова 5шт. - 1,50грн.;                                         2)система внутрішньовенна - 10,00грн.;                                                                            3)рукавички стерильні - 5,00грн.;                                                        4)серветки паперові 0,25р. - 2,00грн.;                                                            5)дизенфікуючий розчин 5мл. - 2,00грн.;                                                            6)антисептик 5мл. - 2,00грн.;                                                                    6) невідкладна допомога:супрастин -18,00грн.; дексаметазон - 2,00грн; аміак 5мл. - 0,75 грн.; шприц-2к.-1шт. - 2,00 грн..</t>
  </si>
  <si>
    <t>Ін’єкція внутрішньовенна струменева(без урахування вартості лікарських засобів):                                                                                           1)серветка спиртова 5шт. - 1,50грн.;                                         2)шприц 20,0 - 2,5грн.;                                                                            3)рукавички стерильні - 5,00грн.;                                                        4)серветки паперові 0,25р. - 2,00грн.;                                                            5)дезінфікуючий розчин 5мл. - 2,00грн.;                                                            6)антисептик 5мл. - 2,00грн.;                                                                    6) невідкладна допомога:супрастин -18,00грн.; дексаметазон - 2,00грн; аміак 5мл. - 0,75 грн.; шприц-2к. - 2,00 грн..</t>
  </si>
  <si>
    <t>Ін’єкція внутрішньом’язова(без урахування вартості лікарських засобів):                                                                                           1)серветка спиртова 5шт. - 1,50грн.;                                         2)шприц-2к.та 5к. - 4,00грн.;                                                                            3)рукавички стерильні - 5,00грн.;                                                        4)серветки паперові 0,25р. - 2,00грн.;                                                            5)дезінфікуючий розчин 5мл. - 2,00грн.;                                                            6)антисептик 5мл. - 2,00грн.;                                                                    6) невідкладна допомога:супрастин -18,00грн.; дексаметазон - 2,00грн; аміак 5мл. - 0,75 грн.; шприц-2к. - 2,00 грн..</t>
  </si>
  <si>
    <t>Ін’єкція підшкірна(без урахування вартості лікарських засобів):                                                                                           1)серветка спиртова 5шт. - 1,50грн.;                                         2)шприц-2к. - 2,00грн.;                                                                            3)рукавички стерильні - 5,00грн.;                                                        4)серветки паперові 0,25р. - 2,00грн.;                                                            5)дезінфікуючий розчин 5мл. - 2,00грн.;                                                            6)антисептик 5мл. - 2,00грн.;                                                                    6) невідкладна допомога:супрастин -18,00грн.; дексаметазон - 2,00грн; аміак 5мл. - 0,75 грн.; шприц-2 - 3,85 грн..</t>
  </si>
  <si>
    <t>заробітна плата</t>
  </si>
  <si>
    <t>АЗПСМ №2</t>
  </si>
  <si>
    <t>АЗПСМ №1</t>
  </si>
  <si>
    <t>-</t>
  </si>
  <si>
    <t>Транспортні послуги з перевезення пацієнтів, фізичних осіб та вантажів. На 1 км.(60км/1год.)</t>
  </si>
  <si>
    <t xml:space="preserve"> АЗПСМ №1</t>
  </si>
  <si>
    <t xml:space="preserve"> АЗПСМ №2</t>
  </si>
  <si>
    <t xml:space="preserve">Підготовка і навчання практичним навичкам подання невідкладної медичної допомоги.                                     1)серветка спиртова 2шт. - 0,60грн.;                                                2)дезінфікуючий розчин 5мл. - 2,00грн.;                                                                       3)бинт - 10,00грн.;                                                                              4)антисептик 5мл. - 2,00грн.;                                                                    </t>
  </si>
  <si>
    <t>74800+39650</t>
  </si>
  <si>
    <t>3400+6800+53975</t>
  </si>
  <si>
    <t>з/п адміністративний апарат</t>
  </si>
  <si>
    <t>з/п господарський відділ</t>
  </si>
  <si>
    <t>господарські витрати(супровід програм+зв'язок+інтернет+бланки+бензин)</t>
  </si>
  <si>
    <t>391205/9</t>
  </si>
  <si>
    <t>102300/6+62075/6+8045/6+95874/9</t>
  </si>
  <si>
    <t>разом</t>
  </si>
  <si>
    <t>оклади мед працівників</t>
  </si>
  <si>
    <t>травень - 450284,31;  червень - 424520,55   липень - 335609,25;                                                                  серпень - 349768,92;</t>
  </si>
  <si>
    <t>коефіцієнт</t>
  </si>
  <si>
    <t>премії</t>
  </si>
  <si>
    <t>330823,3+302148,26+250860,32+267242,7</t>
  </si>
  <si>
    <t>сімейні лікарі, гінеколог</t>
  </si>
  <si>
    <t>педіатри</t>
  </si>
  <si>
    <t>комунальні (2270)</t>
  </si>
  <si>
    <t>для отримання виїзної візи (крім службових відряджень державних службовців та при виїзді на лікування за наявності відповідних медичних документів)</t>
  </si>
  <si>
    <t>попередні профілактичні медичні огляди при прийнятті на роботу та для отримання посвідчення водія транспортних засобів (крім випадків, коли медичні огляди проводяться за направленнями органів державної служби зайнятості), медичні огляди для отримання дозволу на право отримання та носіння зброї громадянами, а також відповідні періодичні профілактичні медичні огляди</t>
  </si>
  <si>
    <t>Проведення профілактичних щеплень особам, які від'їжджають за кордон за викликом, для оздоровлення в зарубіжних лікувальних або санаторних закладах, у туристичні подорожі тощо за власним бажанням або на вимогу сторони, що запрошує(без урахування вартості вакцини)</t>
  </si>
  <si>
    <t>Додаток</t>
  </si>
  <si>
    <t>до рішення виконавчого комітету</t>
  </si>
  <si>
    <t>Розрахунок вартості платних послуг КНП "Малинський ЦПМСД" Малинської міської ради</t>
  </si>
  <si>
    <t>Керуюча справами виконкому                                                                                Світлана СИВКО</t>
  </si>
  <si>
    <t>від 23.10.2019 № _174__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</si>
</sst>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Times New Roman"/>
      <family val="1"/>
      <charset val="204"/>
    </font>
    <font>
      <sz val="11"/>
      <color theme="1"/>
      <name val="Times New Roman"/>
      <family val="1"/>
      <charset val="204"/>
    </font>
    <font>
      <sz val="12"/>
      <color theme="1"/>
      <name val="Times New Roman"/>
      <family val="1"/>
      <charset val="204"/>
    </font>
    <font>
      <sz val="12"/>
      <color rgb="FF000000"/>
      <name val="Times New Roman"/>
      <family val="1"/>
      <charset val="204"/>
    </font>
    <font>
      <sz val="11"/>
      <color rgb="FFFF0000"/>
      <name val="Calibri"/>
      <family val="2"/>
      <scheme val="minor"/>
    </font>
    <font>
      <sz val="11"/>
      <name val="Calibri"/>
      <family val="2"/>
      <scheme val="minor"/>
    </font>
    <font>
      <sz val="12"/>
      <name val="Times New Roman"/>
      <family val="1"/>
      <charset val="204"/>
    </font>
    <font>
      <b/>
      <sz val="11"/>
      <color theme="1"/>
      <name val="Calibri"/>
      <family val="2"/>
      <charset val="204"/>
      <scheme val="minor"/>
    </font>
    <font>
      <sz val="11"/>
      <color rgb="FF000000"/>
      <name val="Times New Roman"/>
      <family val="1"/>
      <charset val="204"/>
    </font>
    <font>
      <sz val="9"/>
      <color theme="1"/>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6">
    <xf numFmtId="0" fontId="0" fillId="0" borderId="0" xfId="0"/>
    <xf numFmtId="0" fontId="0" fillId="0" borderId="1" xfId="0"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horizontal="center" vertical="center"/>
    </xf>
    <xf numFmtId="0" fontId="3" fillId="0" borderId="0" xfId="0" applyFont="1" applyAlignment="1">
      <alignment vertical="center"/>
    </xf>
    <xf numFmtId="0" fontId="3" fillId="0" borderId="1" xfId="0" applyFont="1" applyBorder="1" applyAlignment="1">
      <alignment vertical="center" wrapText="1"/>
    </xf>
    <xf numFmtId="2" fontId="0" fillId="0" borderId="1" xfId="0" applyNumberFormat="1" applyBorder="1" applyAlignment="1">
      <alignment horizontal="center" vertical="center" wrapText="1"/>
    </xf>
    <xf numFmtId="2" fontId="0" fillId="0" borderId="1" xfId="0" applyNumberFormat="1" applyBorder="1" applyAlignment="1">
      <alignment horizontal="center" vertical="center"/>
    </xf>
    <xf numFmtId="0" fontId="4" fillId="0" borderId="1" xfId="0" applyFont="1" applyBorder="1" applyAlignment="1">
      <alignment horizontal="justify" vertical="center"/>
    </xf>
    <xf numFmtId="2" fontId="0" fillId="0" borderId="1" xfId="0" applyNumberFormat="1" applyFill="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2" fontId="5" fillId="0" borderId="1" xfId="0" applyNumberFormat="1" applyFont="1" applyBorder="1" applyAlignment="1">
      <alignment horizontal="center" vertical="center"/>
    </xf>
    <xf numFmtId="0" fontId="0" fillId="0" borderId="1" xfId="0"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top" wrapText="1"/>
    </xf>
    <xf numFmtId="0" fontId="0" fillId="0" borderId="1" xfId="0" applyBorder="1"/>
    <xf numFmtId="2" fontId="6" fillId="0" borderId="1" xfId="0" applyNumberFormat="1" applyFont="1" applyBorder="1" applyAlignment="1">
      <alignment horizontal="center" vertical="center"/>
    </xf>
    <xf numFmtId="2" fontId="6" fillId="0" borderId="1" xfId="0" applyNumberFormat="1" applyFont="1" applyFill="1" applyBorder="1" applyAlignment="1">
      <alignment horizontal="center" vertical="center"/>
    </xf>
    <xf numFmtId="0" fontId="7"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0" fillId="0" borderId="0" xfId="0" applyFill="1"/>
    <xf numFmtId="0" fontId="2" fillId="0" borderId="1" xfId="0" applyFont="1" applyBorder="1" applyAlignment="1">
      <alignment horizontal="center" vertical="center" wrapText="1"/>
    </xf>
    <xf numFmtId="2" fontId="0" fillId="0" borderId="0" xfId="0" applyNumberFormat="1" applyBorder="1" applyAlignment="1">
      <alignment horizontal="center" vertical="center" wrapText="1"/>
    </xf>
    <xf numFmtId="2" fontId="0" fillId="0" borderId="0" xfId="0" applyNumberFormat="1" applyBorder="1" applyAlignment="1">
      <alignment horizontal="center" vertical="center"/>
    </xf>
    <xf numFmtId="0" fontId="4" fillId="0" borderId="1" xfId="0" applyFont="1" applyBorder="1" applyAlignment="1">
      <alignment horizontal="left" vertical="top" wrapTex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top" wrapText="1"/>
    </xf>
    <xf numFmtId="2" fontId="0" fillId="0" borderId="1" xfId="0" applyNumberFormat="1" applyFill="1" applyBorder="1" applyAlignment="1">
      <alignment horizontal="center" vertical="center" wrapText="1"/>
    </xf>
    <xf numFmtId="0" fontId="0" fillId="0" borderId="1" xfId="0" applyFill="1" applyBorder="1" applyAlignment="1">
      <alignment horizontal="center" vertical="center"/>
    </xf>
    <xf numFmtId="0" fontId="8" fillId="0" borderId="1" xfId="0" applyFont="1" applyFill="1" applyBorder="1"/>
    <xf numFmtId="0" fontId="0" fillId="0" borderId="1" xfId="0" applyFill="1" applyBorder="1"/>
    <xf numFmtId="2" fontId="8" fillId="0" borderId="1" xfId="0" applyNumberFormat="1" applyFont="1" applyFill="1"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Border="1" applyAlignment="1"/>
    <xf numFmtId="0" fontId="3" fillId="0" borderId="0" xfId="0" applyFont="1" applyBorder="1" applyAlignment="1">
      <alignment vertical="center"/>
    </xf>
    <xf numFmtId="0" fontId="10" fillId="0" borderId="1" xfId="0" applyFont="1" applyBorder="1" applyAlignment="1">
      <alignment horizontal="center" vertical="center" wrapText="1"/>
    </xf>
    <xf numFmtId="0" fontId="9" fillId="0" borderId="1" xfId="0" applyFont="1" applyBorder="1" applyAlignment="1">
      <alignment horizontal="left" vertical="center" wrapText="1"/>
    </xf>
    <xf numFmtId="0" fontId="0" fillId="0" borderId="12" xfId="0" applyFill="1" applyBorder="1" applyAlignment="1">
      <alignment horizontal="center"/>
    </xf>
    <xf numFmtId="0" fontId="0" fillId="0" borderId="0" xfId="0" applyFill="1" applyBorder="1" applyAlignment="1">
      <alignment horizontal="right"/>
    </xf>
    <xf numFmtId="0" fontId="0" fillId="0" borderId="0" xfId="0" applyBorder="1" applyAlignment="1">
      <alignment horizontal="right"/>
    </xf>
    <xf numFmtId="0" fontId="0" fillId="0" borderId="0" xfId="0" applyAlignment="1">
      <alignment horizontal="center"/>
    </xf>
    <xf numFmtId="0" fontId="4" fillId="0" borderId="0" xfId="0" applyFont="1" applyFill="1" applyBorder="1" applyAlignment="1">
      <alignment horizontal="center" vertical="center"/>
    </xf>
    <xf numFmtId="0" fontId="1"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tabSelected="1" topLeftCell="A43" workbookViewId="0">
      <selection activeCell="I3" sqref="I3:L3"/>
    </sheetView>
  </sheetViews>
  <sheetFormatPr defaultRowHeight="15" x14ac:dyDescent="0.25"/>
  <cols>
    <col min="1" max="1" width="4.28515625" customWidth="1"/>
    <col min="2" max="2" width="56.140625" customWidth="1"/>
    <col min="3" max="3" width="11.7109375" customWidth="1"/>
    <col min="4" max="4" width="8.5703125" customWidth="1"/>
    <col min="5" max="5" width="6.85546875" customWidth="1"/>
    <col min="6" max="6" width="9.28515625" customWidth="1"/>
    <col min="7" max="7" width="6.28515625" customWidth="1"/>
    <col min="8" max="8" width="6.7109375" customWidth="1"/>
    <col min="9" max="9" width="9" customWidth="1"/>
    <col min="10" max="10" width="7.5703125" style="21" customWidth="1"/>
    <col min="11" max="11" width="9.28515625" style="21" customWidth="1"/>
    <col min="12" max="12" width="8.85546875" customWidth="1"/>
  </cols>
  <sheetData>
    <row r="1" spans="1:12" x14ac:dyDescent="0.25">
      <c r="I1" s="41" t="s">
        <v>90</v>
      </c>
      <c r="J1" s="41"/>
      <c r="K1" s="41"/>
      <c r="L1" s="41"/>
    </row>
    <row r="2" spans="1:12" x14ac:dyDescent="0.25">
      <c r="I2" s="42" t="s">
        <v>91</v>
      </c>
      <c r="J2" s="42"/>
      <c r="K2" s="42"/>
      <c r="L2" s="42"/>
    </row>
    <row r="3" spans="1:12" x14ac:dyDescent="0.25">
      <c r="I3" s="42" t="s">
        <v>94</v>
      </c>
      <c r="J3" s="42"/>
      <c r="K3" s="42"/>
      <c r="L3" s="42"/>
    </row>
    <row r="4" spans="1:12" x14ac:dyDescent="0.25">
      <c r="J4" s="40"/>
      <c r="K4" s="40"/>
      <c r="L4" s="40"/>
    </row>
    <row r="5" spans="1:12" ht="27" customHeight="1" x14ac:dyDescent="0.25">
      <c r="A5" s="45" t="s">
        <v>92</v>
      </c>
      <c r="B5" s="45"/>
      <c r="C5" s="45"/>
      <c r="D5" s="45"/>
      <c r="E5" s="45"/>
      <c r="F5" s="45"/>
      <c r="G5" s="45"/>
      <c r="H5" s="45"/>
      <c r="I5" s="45"/>
      <c r="J5" s="45"/>
      <c r="K5" s="45"/>
      <c r="L5" s="45"/>
    </row>
    <row r="6" spans="1:12" ht="27.6" customHeight="1" x14ac:dyDescent="0.25">
      <c r="A6" s="48" t="s">
        <v>0</v>
      </c>
      <c r="B6" s="48" t="s">
        <v>9</v>
      </c>
      <c r="C6" s="53" t="s">
        <v>1</v>
      </c>
      <c r="D6" s="54"/>
      <c r="E6" s="54"/>
      <c r="F6" s="54"/>
      <c r="G6" s="55"/>
      <c r="H6" s="48" t="s">
        <v>4</v>
      </c>
      <c r="I6" s="56" t="s">
        <v>5</v>
      </c>
      <c r="J6" s="57"/>
      <c r="K6" s="60" t="s">
        <v>6</v>
      </c>
      <c r="L6" s="61"/>
    </row>
    <row r="7" spans="1:12" ht="31.15" customHeight="1" x14ac:dyDescent="0.25">
      <c r="A7" s="49"/>
      <c r="B7" s="49"/>
      <c r="C7" s="51" t="s">
        <v>32</v>
      </c>
      <c r="D7" s="46" t="s">
        <v>2</v>
      </c>
      <c r="E7" s="47"/>
      <c r="F7" s="46" t="s">
        <v>3</v>
      </c>
      <c r="G7" s="47"/>
      <c r="H7" s="49"/>
      <c r="I7" s="58"/>
      <c r="J7" s="59"/>
      <c r="K7" s="62"/>
      <c r="L7" s="63"/>
    </row>
    <row r="8" spans="1:12" ht="38.450000000000003" customHeight="1" x14ac:dyDescent="0.25">
      <c r="A8" s="50"/>
      <c r="B8" s="50"/>
      <c r="C8" s="52"/>
      <c r="D8" s="38" t="s">
        <v>84</v>
      </c>
      <c r="E8" s="38" t="s">
        <v>85</v>
      </c>
      <c r="F8" s="38" t="s">
        <v>84</v>
      </c>
      <c r="G8" s="38" t="s">
        <v>85</v>
      </c>
      <c r="H8" s="50"/>
      <c r="I8" s="38" t="s">
        <v>84</v>
      </c>
      <c r="J8" s="38" t="s">
        <v>85</v>
      </c>
      <c r="K8" s="38" t="s">
        <v>84</v>
      </c>
      <c r="L8" s="38" t="s">
        <v>85</v>
      </c>
    </row>
    <row r="9" spans="1:12" ht="30" customHeight="1" x14ac:dyDescent="0.25">
      <c r="A9" s="1">
        <v>1</v>
      </c>
      <c r="B9" s="5" t="s">
        <v>8</v>
      </c>
      <c r="C9" s="6">
        <f>медикаменти!C4</f>
        <v>37.799999999999997</v>
      </c>
      <c r="D9" s="6">
        <f>'зп+нарах.'!C5</f>
        <v>95.876126126126124</v>
      </c>
      <c r="E9" s="7" t="str">
        <f>'зп+нарах.'!D5</f>
        <v>-</v>
      </c>
      <c r="F9" s="6">
        <f>'зп+нарах.'!E5</f>
        <v>21.092747747747747</v>
      </c>
      <c r="G9" s="7" t="str">
        <f>'зп+нарах.'!F5</f>
        <v>-</v>
      </c>
      <c r="H9" s="7">
        <v>0.05</v>
      </c>
      <c r="I9" s="7">
        <f>D9*0.38</f>
        <v>36.432927927927928</v>
      </c>
      <c r="J9" s="7" t="s">
        <v>66</v>
      </c>
      <c r="K9" s="9">
        <f>C9+D9+F9+H9+I9</f>
        <v>191.2518018018018</v>
      </c>
      <c r="L9" s="7" t="s">
        <v>66</v>
      </c>
    </row>
    <row r="10" spans="1:12" ht="15.75" x14ac:dyDescent="0.25">
      <c r="A10" s="1">
        <v>2</v>
      </c>
      <c r="B10" s="8" t="s">
        <v>31</v>
      </c>
      <c r="C10" s="6">
        <f>медикаменти!C5</f>
        <v>89.4</v>
      </c>
      <c r="D10" s="6">
        <f>'зп+нарах.'!C6</f>
        <v>104.82432432432432</v>
      </c>
      <c r="E10" s="7" t="str">
        <f>'зп+нарах.'!D6</f>
        <v>-</v>
      </c>
      <c r="F10" s="6">
        <f>'зп+нарах.'!E6</f>
        <v>23.061351351351352</v>
      </c>
      <c r="G10" s="7" t="str">
        <f>'зп+нарах.'!F6</f>
        <v>-</v>
      </c>
      <c r="H10" s="7">
        <v>0.05</v>
      </c>
      <c r="I10" s="7">
        <f>D10*0.38</f>
        <v>39.833243243243246</v>
      </c>
      <c r="J10" s="7" t="s">
        <v>66</v>
      </c>
      <c r="K10" s="9">
        <f t="shared" ref="K10:K43" si="0">C10+D10+F10+H10+I10</f>
        <v>257.16891891891896</v>
      </c>
      <c r="L10" s="7" t="s">
        <v>66</v>
      </c>
    </row>
    <row r="11" spans="1:12" ht="15.75" x14ac:dyDescent="0.25">
      <c r="A11" s="1">
        <v>3</v>
      </c>
      <c r="B11" s="8" t="s">
        <v>44</v>
      </c>
      <c r="C11" s="6">
        <f>медикаменти!C6</f>
        <v>89.4</v>
      </c>
      <c r="D11" s="6">
        <f>'зп+нарах.'!C7</f>
        <v>104.82432432432432</v>
      </c>
      <c r="E11" s="7" t="str">
        <f>'зп+нарах.'!D7</f>
        <v>-</v>
      </c>
      <c r="F11" s="6">
        <f>'зп+нарах.'!E7</f>
        <v>23.061351351351352</v>
      </c>
      <c r="G11" s="7" t="str">
        <f>'зп+нарах.'!F7</f>
        <v>-</v>
      </c>
      <c r="H11" s="7">
        <v>0.05</v>
      </c>
      <c r="I11" s="7">
        <f t="shared" ref="I11:I42" si="1">D11*0.38</f>
        <v>39.833243243243246</v>
      </c>
      <c r="J11" s="7" t="s">
        <v>66</v>
      </c>
      <c r="K11" s="9">
        <f t="shared" si="0"/>
        <v>257.16891891891896</v>
      </c>
      <c r="L11" s="7" t="s">
        <v>66</v>
      </c>
    </row>
    <row r="12" spans="1:12" ht="15.75" x14ac:dyDescent="0.25">
      <c r="A12" s="1">
        <v>4</v>
      </c>
      <c r="B12" s="8" t="s">
        <v>10</v>
      </c>
      <c r="C12" s="6">
        <f>медикаменти!C7</f>
        <v>89.4</v>
      </c>
      <c r="D12" s="6">
        <f>'зп+нарах.'!C8</f>
        <v>68.407657657657651</v>
      </c>
      <c r="E12" s="7" t="str">
        <f>'зп+нарах.'!D8</f>
        <v>-</v>
      </c>
      <c r="F12" s="6">
        <f>'зп+нарах.'!E8</f>
        <v>15.049684684684683</v>
      </c>
      <c r="G12" s="7" t="str">
        <f>'зп+нарах.'!F8</f>
        <v>-</v>
      </c>
      <c r="H12" s="7">
        <v>0.05</v>
      </c>
      <c r="I12" s="7">
        <f t="shared" si="1"/>
        <v>25.994909909909907</v>
      </c>
      <c r="J12" s="7" t="s">
        <v>66</v>
      </c>
      <c r="K12" s="9">
        <f t="shared" si="0"/>
        <v>198.90225225225225</v>
      </c>
      <c r="L12" s="7" t="s">
        <v>66</v>
      </c>
    </row>
    <row r="13" spans="1:12" ht="15.75" x14ac:dyDescent="0.25">
      <c r="A13" s="1">
        <v>5</v>
      </c>
      <c r="B13" s="8" t="s">
        <v>11</v>
      </c>
      <c r="C13" s="6">
        <f>медикаменти!C8</f>
        <v>89.4</v>
      </c>
      <c r="D13" s="6">
        <f>'зп+нарах.'!C9</f>
        <v>87.551801801801801</v>
      </c>
      <c r="E13" s="7" t="str">
        <f>'зп+нарах.'!D9</f>
        <v>-</v>
      </c>
      <c r="F13" s="6">
        <f>'зп+нарах.'!E9</f>
        <v>19.261396396396396</v>
      </c>
      <c r="G13" s="7" t="str">
        <f>'зп+нарах.'!F9</f>
        <v>-</v>
      </c>
      <c r="H13" s="7">
        <v>0.05</v>
      </c>
      <c r="I13" s="7">
        <f t="shared" si="1"/>
        <v>33.269684684684684</v>
      </c>
      <c r="J13" s="7" t="s">
        <v>66</v>
      </c>
      <c r="K13" s="9">
        <f t="shared" si="0"/>
        <v>229.53288288288292</v>
      </c>
      <c r="L13" s="7" t="s">
        <v>66</v>
      </c>
    </row>
    <row r="14" spans="1:12" ht="31.5" x14ac:dyDescent="0.25">
      <c r="A14" s="1">
        <v>6</v>
      </c>
      <c r="B14" s="8" t="s">
        <v>12</v>
      </c>
      <c r="C14" s="6">
        <f>медикаменти!C9</f>
        <v>89.4</v>
      </c>
      <c r="D14" s="6">
        <f>'зп+нарах.'!C10</f>
        <v>95.252252252252248</v>
      </c>
      <c r="E14" s="7" t="str">
        <f>'зп+нарах.'!D10</f>
        <v>-</v>
      </c>
      <c r="F14" s="6">
        <f>'зп+нарах.'!E10</f>
        <v>20.955495495495494</v>
      </c>
      <c r="G14" s="7" t="str">
        <f>'зп+нарах.'!F10</f>
        <v>-</v>
      </c>
      <c r="H14" s="7">
        <v>0.05</v>
      </c>
      <c r="I14" s="7">
        <f t="shared" si="1"/>
        <v>36.195855855855854</v>
      </c>
      <c r="J14" s="7" t="s">
        <v>66</v>
      </c>
      <c r="K14" s="9">
        <f t="shared" si="0"/>
        <v>241.8536036036036</v>
      </c>
      <c r="L14" s="7" t="s">
        <v>66</v>
      </c>
    </row>
    <row r="15" spans="1:12" ht="15.75" x14ac:dyDescent="0.25">
      <c r="A15" s="1">
        <v>7</v>
      </c>
      <c r="B15" s="8" t="s">
        <v>13</v>
      </c>
      <c r="C15" s="6">
        <f>медикаменти!C10</f>
        <v>89.4</v>
      </c>
      <c r="D15" s="6">
        <f>'зп+нарах.'!C11</f>
        <v>95.252252252252248</v>
      </c>
      <c r="E15" s="7" t="str">
        <f>'зп+нарах.'!D11</f>
        <v>-</v>
      </c>
      <c r="F15" s="6">
        <f>'зп+нарах.'!E11</f>
        <v>20.955495495495494</v>
      </c>
      <c r="G15" s="7" t="str">
        <f>'зп+нарах.'!F11</f>
        <v>-</v>
      </c>
      <c r="H15" s="7">
        <v>0.05</v>
      </c>
      <c r="I15" s="7">
        <f t="shared" si="1"/>
        <v>36.195855855855854</v>
      </c>
      <c r="J15" s="7" t="s">
        <v>66</v>
      </c>
      <c r="K15" s="9">
        <f t="shared" si="0"/>
        <v>241.8536036036036</v>
      </c>
      <c r="L15" s="7" t="s">
        <v>66</v>
      </c>
    </row>
    <row r="16" spans="1:12" ht="15.75" x14ac:dyDescent="0.25">
      <c r="A16" s="1">
        <v>8</v>
      </c>
      <c r="B16" s="8" t="s">
        <v>14</v>
      </c>
      <c r="C16" s="6">
        <f>медикаменти!C11</f>
        <v>89.4</v>
      </c>
      <c r="D16" s="6">
        <f>'зп+нарах.'!C12</f>
        <v>95.252252252252248</v>
      </c>
      <c r="E16" s="7" t="str">
        <f>'зп+нарах.'!D12</f>
        <v>-</v>
      </c>
      <c r="F16" s="6">
        <f>'зп+нарах.'!E12</f>
        <v>20.955495495495494</v>
      </c>
      <c r="G16" s="7" t="str">
        <f>'зп+нарах.'!F12</f>
        <v>-</v>
      </c>
      <c r="H16" s="7">
        <v>0.05</v>
      </c>
      <c r="I16" s="7">
        <f t="shared" si="1"/>
        <v>36.195855855855854</v>
      </c>
      <c r="J16" s="7" t="s">
        <v>66</v>
      </c>
      <c r="K16" s="9">
        <f t="shared" si="0"/>
        <v>241.8536036036036</v>
      </c>
      <c r="L16" s="7" t="s">
        <v>66</v>
      </c>
    </row>
    <row r="17" spans="1:12" ht="15.75" x14ac:dyDescent="0.25">
      <c r="A17" s="1">
        <v>9</v>
      </c>
      <c r="B17" s="8" t="s">
        <v>15</v>
      </c>
      <c r="C17" s="6"/>
      <c r="D17" s="6"/>
      <c r="E17" s="7"/>
      <c r="F17" s="6"/>
      <c r="G17" s="7"/>
      <c r="H17" s="7"/>
      <c r="I17" s="7"/>
      <c r="J17" s="7"/>
      <c r="K17" s="9"/>
      <c r="L17" s="7"/>
    </row>
    <row r="18" spans="1:12" ht="47.45" customHeight="1" x14ac:dyDescent="0.25">
      <c r="A18" s="1"/>
      <c r="B18" s="8" t="s">
        <v>16</v>
      </c>
      <c r="C18" s="6">
        <f>медикаменти!C13</f>
        <v>46.300000000000004</v>
      </c>
      <c r="D18" s="6">
        <f>'зп+нарах.'!C14</f>
        <v>28.779504504504505</v>
      </c>
      <c r="E18" s="7">
        <f>'зп+нарах.'!D14</f>
        <v>30.134909909909904</v>
      </c>
      <c r="F18" s="6">
        <f>'зп+нарах.'!E14</f>
        <v>6.3314909909909911</v>
      </c>
      <c r="G18" s="7">
        <f>'зп+нарах.'!F14</f>
        <v>6.6296801801801788</v>
      </c>
      <c r="H18" s="7">
        <f>0.04</f>
        <v>0.04</v>
      </c>
      <c r="I18" s="7">
        <f t="shared" si="1"/>
        <v>10.936211711711712</v>
      </c>
      <c r="J18" s="7">
        <f t="shared" ref="J18:J34" si="2">E18*0.38</f>
        <v>11.451265765765763</v>
      </c>
      <c r="K18" s="9">
        <f t="shared" si="0"/>
        <v>92.387207207207211</v>
      </c>
      <c r="L18" s="7">
        <f t="shared" ref="L18:L42" si="3">C18+E18+G18+H18+J18</f>
        <v>94.555855855855853</v>
      </c>
    </row>
    <row r="19" spans="1:12" ht="107.45" customHeight="1" x14ac:dyDescent="0.25">
      <c r="A19" s="1"/>
      <c r="B19" s="8" t="s">
        <v>17</v>
      </c>
      <c r="C19" s="6">
        <f>медикаменти!C14</f>
        <v>46.300000000000004</v>
      </c>
      <c r="D19" s="6">
        <f>'зп+нарах.'!C15</f>
        <v>28.779504504504505</v>
      </c>
      <c r="E19" s="7">
        <f>'зп+нарах.'!D15</f>
        <v>30.134909909909904</v>
      </c>
      <c r="F19" s="6">
        <f>'зп+нарах.'!E15</f>
        <v>6.3314909909909911</v>
      </c>
      <c r="G19" s="7">
        <f>'зп+нарах.'!F15</f>
        <v>6.6296801801801788</v>
      </c>
      <c r="H19" s="7">
        <f>0.04</f>
        <v>0.04</v>
      </c>
      <c r="I19" s="7">
        <f t="shared" si="1"/>
        <v>10.936211711711712</v>
      </c>
      <c r="J19" s="7">
        <f t="shared" si="2"/>
        <v>11.451265765765763</v>
      </c>
      <c r="K19" s="9">
        <f t="shared" si="0"/>
        <v>92.387207207207211</v>
      </c>
      <c r="L19" s="7">
        <f t="shared" si="3"/>
        <v>94.555855855855853</v>
      </c>
    </row>
    <row r="20" spans="1:12" ht="47.25" x14ac:dyDescent="0.25">
      <c r="A20" s="1">
        <v>10</v>
      </c>
      <c r="B20" s="8" t="s">
        <v>33</v>
      </c>
      <c r="C20" s="6"/>
      <c r="D20" s="6"/>
      <c r="E20" s="7"/>
      <c r="F20" s="6"/>
      <c r="G20" s="7"/>
      <c r="H20" s="7"/>
      <c r="I20" s="7"/>
      <c r="J20" s="7"/>
      <c r="K20" s="9"/>
      <c r="L20" s="7">
        <f t="shared" si="3"/>
        <v>0</v>
      </c>
    </row>
    <row r="21" spans="1:12" ht="31.5" x14ac:dyDescent="0.25">
      <c r="A21" s="1"/>
      <c r="B21" s="8" t="s">
        <v>40</v>
      </c>
      <c r="C21" s="6">
        <v>345.4</v>
      </c>
      <c r="D21" s="6">
        <f>'зп+нарах.'!C17</f>
        <v>40.54054054054054</v>
      </c>
      <c r="E21" s="7" t="str">
        <f>'зп+нарах.'!D17</f>
        <v>-</v>
      </c>
      <c r="F21" s="6">
        <f>'зп+нарах.'!E17</f>
        <v>8.9189189189189193</v>
      </c>
      <c r="G21" s="7" t="str">
        <f>'зп+нарах.'!F17</f>
        <v>-</v>
      </c>
      <c r="H21" s="7"/>
      <c r="I21" s="7">
        <f t="shared" si="1"/>
        <v>15.405405405405405</v>
      </c>
      <c r="J21" s="7" t="s">
        <v>66</v>
      </c>
      <c r="K21" s="9">
        <f t="shared" si="0"/>
        <v>410.26486486486482</v>
      </c>
      <c r="L21" s="7" t="s">
        <v>66</v>
      </c>
    </row>
    <row r="22" spans="1:12" ht="31.5" x14ac:dyDescent="0.25">
      <c r="A22" s="1"/>
      <c r="B22" s="8" t="s">
        <v>41</v>
      </c>
      <c r="C22" s="6">
        <v>345.4</v>
      </c>
      <c r="D22" s="6">
        <f>'зп+нарах.'!C18</f>
        <v>32.432432432432428</v>
      </c>
      <c r="E22" s="7" t="str">
        <f>'зп+нарах.'!D18</f>
        <v>-</v>
      </c>
      <c r="F22" s="6">
        <f>'зп+нарах.'!E18</f>
        <v>7.1351351351351342</v>
      </c>
      <c r="G22" s="7" t="str">
        <f>'зп+нарах.'!F18</f>
        <v>-</v>
      </c>
      <c r="H22" s="7"/>
      <c r="I22" s="7">
        <f t="shared" si="1"/>
        <v>12.324324324324323</v>
      </c>
      <c r="J22" s="7" t="s">
        <v>66</v>
      </c>
      <c r="K22" s="9">
        <f t="shared" si="0"/>
        <v>397.29189189189191</v>
      </c>
      <c r="L22" s="7" t="s">
        <v>66</v>
      </c>
    </row>
    <row r="23" spans="1:12" ht="63" x14ac:dyDescent="0.25">
      <c r="A23" s="1">
        <v>11</v>
      </c>
      <c r="B23" s="8" t="s">
        <v>23</v>
      </c>
      <c r="C23" s="6">
        <f>медикаменти!C18</f>
        <v>0</v>
      </c>
      <c r="D23" s="6">
        <f>'зп+нарах.'!C19</f>
        <v>40.54054054054054</v>
      </c>
      <c r="E23" s="7" t="str">
        <f>'зп+нарах.'!D19</f>
        <v>-</v>
      </c>
      <c r="F23" s="6">
        <f>'зп+нарах.'!E19</f>
        <v>8.9189189189189193</v>
      </c>
      <c r="G23" s="7" t="str">
        <f>'зп+нарах.'!F19</f>
        <v>-</v>
      </c>
      <c r="H23" s="7">
        <f>0.04</f>
        <v>0.04</v>
      </c>
      <c r="I23" s="7">
        <f t="shared" si="1"/>
        <v>15.405405405405405</v>
      </c>
      <c r="J23" s="7" t="s">
        <v>66</v>
      </c>
      <c r="K23" s="9">
        <f t="shared" si="0"/>
        <v>64.904864864864862</v>
      </c>
      <c r="L23" s="7" t="s">
        <v>66</v>
      </c>
    </row>
    <row r="24" spans="1:12" ht="49.9" customHeight="1" x14ac:dyDescent="0.25">
      <c r="A24" s="1">
        <v>12</v>
      </c>
      <c r="B24" s="8" t="s">
        <v>24</v>
      </c>
      <c r="C24" s="6">
        <f>медикаменти!C19</f>
        <v>0</v>
      </c>
      <c r="D24" s="6">
        <f>'зп+нарах.'!C20</f>
        <v>40.54054054054054</v>
      </c>
      <c r="E24" s="7">
        <f>'зп+нарах.'!D20</f>
        <v>38.513513513513509</v>
      </c>
      <c r="F24" s="6">
        <f>'зп+нарах.'!E20</f>
        <v>8.9189189189189193</v>
      </c>
      <c r="G24" s="7">
        <f>'зп+нарах.'!F20</f>
        <v>8.4729729729729719</v>
      </c>
      <c r="H24" s="7">
        <v>0.13</v>
      </c>
      <c r="I24" s="7">
        <f t="shared" si="1"/>
        <v>15.405405405405405</v>
      </c>
      <c r="J24" s="7">
        <f t="shared" si="2"/>
        <v>14.635135135135133</v>
      </c>
      <c r="K24" s="9">
        <f t="shared" si="0"/>
        <v>64.994864864864866</v>
      </c>
      <c r="L24" s="7">
        <f t="shared" si="3"/>
        <v>61.751621621621624</v>
      </c>
    </row>
    <row r="25" spans="1:12" ht="94.5" x14ac:dyDescent="0.25">
      <c r="A25" s="1">
        <v>13</v>
      </c>
      <c r="B25" s="8" t="s">
        <v>35</v>
      </c>
      <c r="C25" s="6">
        <f>медикаменти!C20</f>
        <v>39.1</v>
      </c>
      <c r="D25" s="6">
        <f>'зп+нарах.'!C21</f>
        <v>30.503828828828826</v>
      </c>
      <c r="E25" s="7">
        <f>'зп+нарах.'!D21</f>
        <v>41.618693693693693</v>
      </c>
      <c r="F25" s="6">
        <f>'зп+нарах.'!E21</f>
        <v>6.7108423423423416</v>
      </c>
      <c r="G25" s="7">
        <f>'зп+нарах.'!F21</f>
        <v>9.1561126126126133</v>
      </c>
      <c r="H25" s="7"/>
      <c r="I25" s="7">
        <f t="shared" si="1"/>
        <v>11.591454954954955</v>
      </c>
      <c r="J25" s="7">
        <f t="shared" si="2"/>
        <v>15.815103603603603</v>
      </c>
      <c r="K25" s="9">
        <f t="shared" si="0"/>
        <v>87.906126126126125</v>
      </c>
      <c r="L25" s="7">
        <f t="shared" si="3"/>
        <v>105.68990990990991</v>
      </c>
    </row>
    <row r="26" spans="1:12" ht="57" customHeight="1" x14ac:dyDescent="0.25">
      <c r="A26" s="1">
        <v>14</v>
      </c>
      <c r="B26" s="8" t="s">
        <v>34</v>
      </c>
      <c r="C26" s="6">
        <f>медикаменти!C21</f>
        <v>39.1</v>
      </c>
      <c r="D26" s="6">
        <f>'зп+нарах.'!C22</f>
        <v>30.503828828828826</v>
      </c>
      <c r="E26" s="7">
        <f>'зп+нарах.'!D22</f>
        <v>41.618693693693693</v>
      </c>
      <c r="F26" s="6">
        <f>'зп+нарах.'!E22</f>
        <v>6.7108423423423416</v>
      </c>
      <c r="G26" s="7">
        <f>'зп+нарах.'!F22</f>
        <v>9.1561126126126133</v>
      </c>
      <c r="H26" s="7"/>
      <c r="I26" s="7">
        <f t="shared" si="1"/>
        <v>11.591454954954955</v>
      </c>
      <c r="J26" s="7">
        <f t="shared" si="2"/>
        <v>15.815103603603603</v>
      </c>
      <c r="K26" s="9">
        <f t="shared" si="0"/>
        <v>87.906126126126125</v>
      </c>
      <c r="L26" s="7">
        <f t="shared" si="3"/>
        <v>105.68990990990991</v>
      </c>
    </row>
    <row r="27" spans="1:12" ht="31.5" x14ac:dyDescent="0.25">
      <c r="A27" s="1">
        <v>15</v>
      </c>
      <c r="B27" s="8" t="s">
        <v>36</v>
      </c>
      <c r="C27" s="6">
        <f>медикаменти!C22</f>
        <v>45.25</v>
      </c>
      <c r="D27" s="6">
        <f>'зп+нарах.'!C23</f>
        <v>77.168693693693683</v>
      </c>
      <c r="E27" s="7" t="str">
        <f>'зп+нарах.'!D23</f>
        <v>-</v>
      </c>
      <c r="F27" s="6">
        <f>'зп+нарах.'!E23</f>
        <v>16.977112612612611</v>
      </c>
      <c r="G27" s="7" t="s">
        <v>66</v>
      </c>
      <c r="H27" s="7"/>
      <c r="I27" s="7">
        <f t="shared" si="1"/>
        <v>29.3241036036036</v>
      </c>
      <c r="J27" s="7" t="s">
        <v>66</v>
      </c>
      <c r="K27" s="9">
        <f t="shared" si="0"/>
        <v>168.71990990990989</v>
      </c>
      <c r="L27" s="7" t="s">
        <v>66</v>
      </c>
    </row>
    <row r="28" spans="1:12" ht="31.5" x14ac:dyDescent="0.25">
      <c r="A28" s="1">
        <v>16</v>
      </c>
      <c r="B28" s="8" t="s">
        <v>37</v>
      </c>
      <c r="C28" s="6">
        <f>медикаменти!C23</f>
        <v>37.75</v>
      </c>
      <c r="D28" s="6">
        <f>'зп+нарах.'!C24</f>
        <v>32.168693693693697</v>
      </c>
      <c r="E28" s="7" t="str">
        <f>'зп+нарах.'!D24</f>
        <v>-</v>
      </c>
      <c r="F28" s="6">
        <f>'зп+нарах.'!E24</f>
        <v>7.0771126126126136</v>
      </c>
      <c r="G28" s="7" t="str">
        <f>'зп+нарах.'!F24</f>
        <v>-</v>
      </c>
      <c r="H28" s="7"/>
      <c r="I28" s="7">
        <f t="shared" si="1"/>
        <v>12.224103603603606</v>
      </c>
      <c r="J28" s="7" t="s">
        <v>66</v>
      </c>
      <c r="K28" s="9">
        <f t="shared" si="0"/>
        <v>89.219909909909916</v>
      </c>
      <c r="L28" s="7" t="s">
        <v>66</v>
      </c>
    </row>
    <row r="29" spans="1:12" ht="31.5" x14ac:dyDescent="0.25">
      <c r="A29" s="1">
        <v>17</v>
      </c>
      <c r="B29" s="8" t="s">
        <v>38</v>
      </c>
      <c r="C29" s="6">
        <f>медикаменти!C24</f>
        <v>39.25</v>
      </c>
      <c r="D29" s="6">
        <f>'зп+нарах.'!C25</f>
        <v>37.633558558558562</v>
      </c>
      <c r="E29" s="7">
        <f>'зп+нарах.'!D25</f>
        <v>14.15135135135135</v>
      </c>
      <c r="F29" s="6">
        <f>'зп+нарах.'!E25</f>
        <v>8.2793828828828833</v>
      </c>
      <c r="G29" s="7">
        <f>'зп+нарах.'!F25</f>
        <v>3.1132972972972968</v>
      </c>
      <c r="H29" s="7"/>
      <c r="I29" s="7">
        <f t="shared" si="1"/>
        <v>14.300752252252254</v>
      </c>
      <c r="J29" s="7">
        <f t="shared" si="2"/>
        <v>5.377513513513513</v>
      </c>
      <c r="K29" s="9">
        <f t="shared" si="0"/>
        <v>99.463693693693699</v>
      </c>
      <c r="L29" s="7">
        <f t="shared" si="3"/>
        <v>61.892162162162158</v>
      </c>
    </row>
    <row r="30" spans="1:12" ht="31.5" x14ac:dyDescent="0.25">
      <c r="A30" s="1">
        <v>18</v>
      </c>
      <c r="B30" s="8" t="s">
        <v>39</v>
      </c>
      <c r="C30" s="6">
        <f>медикаменти!C25</f>
        <v>39.1</v>
      </c>
      <c r="D30" s="6">
        <f>'зп+нарах.'!C26</f>
        <v>17.578378378378375</v>
      </c>
      <c r="E30" s="7">
        <f>'зп+нарах.'!D26</f>
        <v>14.15135135135135</v>
      </c>
      <c r="F30" s="6">
        <f>'зп+нарах.'!E26</f>
        <v>3.8672432432432426</v>
      </c>
      <c r="G30" s="7">
        <f>'зп+нарах.'!F26</f>
        <v>3.1132972972972968</v>
      </c>
      <c r="H30" s="7"/>
      <c r="I30" s="7">
        <f t="shared" si="1"/>
        <v>6.6797837837837823</v>
      </c>
      <c r="J30" s="7">
        <f t="shared" si="2"/>
        <v>5.377513513513513</v>
      </c>
      <c r="K30" s="9">
        <f t="shared" si="0"/>
        <v>67.225405405405397</v>
      </c>
      <c r="L30" s="7">
        <f t="shared" si="3"/>
        <v>61.74216216216216</v>
      </c>
    </row>
    <row r="31" spans="1:12" ht="63" x14ac:dyDescent="0.25">
      <c r="A31" s="1">
        <v>19</v>
      </c>
      <c r="B31" s="8" t="s">
        <v>25</v>
      </c>
      <c r="C31" s="6">
        <f>медикаменти!C26</f>
        <v>0</v>
      </c>
      <c r="D31" s="6">
        <f>'зп+нарах.'!C27</f>
        <v>72.972972972972968</v>
      </c>
      <c r="E31" s="7">
        <f>'зп+нарах.'!D27</f>
        <v>70.945945945945937</v>
      </c>
      <c r="F31" s="6">
        <f>'зп+нарах.'!E27</f>
        <v>16.054054054054053</v>
      </c>
      <c r="G31" s="7">
        <f>'зп+нарах.'!F27</f>
        <v>15.608108108108107</v>
      </c>
      <c r="H31" s="7"/>
      <c r="I31" s="7">
        <f t="shared" si="1"/>
        <v>27.72972972972973</v>
      </c>
      <c r="J31" s="7">
        <f t="shared" si="2"/>
        <v>26.959459459459456</v>
      </c>
      <c r="K31" s="9">
        <f t="shared" si="0"/>
        <v>116.75675675675674</v>
      </c>
      <c r="L31" s="7">
        <f t="shared" si="3"/>
        <v>113.5135135135135</v>
      </c>
    </row>
    <row r="32" spans="1:12" ht="47.25" x14ac:dyDescent="0.25">
      <c r="A32" s="1"/>
      <c r="B32" s="8" t="s">
        <v>43</v>
      </c>
      <c r="C32" s="6">
        <f>медикаменти!C27</f>
        <v>0</v>
      </c>
      <c r="D32" s="6">
        <f>'зп+нарах.'!C28</f>
        <v>72.972972972972968</v>
      </c>
      <c r="E32" s="7">
        <f>'зп+нарах.'!D28</f>
        <v>0</v>
      </c>
      <c r="F32" s="6">
        <f>'зп+нарах.'!E28</f>
        <v>16.054054054054053</v>
      </c>
      <c r="G32" s="7">
        <f>'зп+нарах.'!F28</f>
        <v>0</v>
      </c>
      <c r="H32" s="7"/>
      <c r="I32" s="7">
        <f t="shared" si="1"/>
        <v>27.72972972972973</v>
      </c>
      <c r="J32" s="7">
        <f t="shared" si="2"/>
        <v>0</v>
      </c>
      <c r="K32" s="9">
        <f t="shared" si="0"/>
        <v>116.75675675675674</v>
      </c>
      <c r="L32" s="7">
        <f t="shared" si="3"/>
        <v>0</v>
      </c>
    </row>
    <row r="33" spans="1:12" ht="63" x14ac:dyDescent="0.25">
      <c r="A33" s="1">
        <v>20</v>
      </c>
      <c r="B33" s="8" t="s">
        <v>26</v>
      </c>
      <c r="C33" s="6">
        <f>медикаменти!C28</f>
        <v>0</v>
      </c>
      <c r="D33" s="6">
        <f>'зп+нарах.'!C29</f>
        <v>72.972972972972968</v>
      </c>
      <c r="E33" s="7">
        <f>'зп+нарах.'!D29</f>
        <v>0</v>
      </c>
      <c r="F33" s="6">
        <f>'зп+нарах.'!E29</f>
        <v>16.054054054054053</v>
      </c>
      <c r="G33" s="7">
        <f>'зп+нарах.'!F29</f>
        <v>0</v>
      </c>
      <c r="H33" s="7"/>
      <c r="I33" s="7">
        <f t="shared" si="1"/>
        <v>27.72972972972973</v>
      </c>
      <c r="J33" s="7">
        <f t="shared" si="2"/>
        <v>0</v>
      </c>
      <c r="K33" s="9">
        <f t="shared" si="0"/>
        <v>116.75675675675674</v>
      </c>
      <c r="L33" s="7">
        <f t="shared" si="3"/>
        <v>0</v>
      </c>
    </row>
    <row r="34" spans="1:12" ht="15.75" x14ac:dyDescent="0.25">
      <c r="A34" s="1">
        <v>21</v>
      </c>
      <c r="B34" s="8" t="s">
        <v>27</v>
      </c>
      <c r="C34" s="6">
        <f>медикаменти!C29</f>
        <v>0</v>
      </c>
      <c r="D34" s="6">
        <f>'зп+нарах.'!C30</f>
        <v>0</v>
      </c>
      <c r="E34" s="7">
        <f>'зп+нарах.'!D30</f>
        <v>12.837837837837835</v>
      </c>
      <c r="F34" s="6">
        <f>'зп+нарах.'!E30</f>
        <v>0</v>
      </c>
      <c r="G34" s="7">
        <f>'зп+нарах.'!F30</f>
        <v>2.8243243243243237</v>
      </c>
      <c r="H34" s="7"/>
      <c r="I34" s="7">
        <f t="shared" si="1"/>
        <v>0</v>
      </c>
      <c r="J34" s="7">
        <f t="shared" si="2"/>
        <v>4.8783783783783772</v>
      </c>
      <c r="K34" s="9">
        <f t="shared" si="0"/>
        <v>0</v>
      </c>
      <c r="L34" s="7">
        <f t="shared" si="3"/>
        <v>20.540540540540533</v>
      </c>
    </row>
    <row r="35" spans="1:12" ht="47.25" x14ac:dyDescent="0.25">
      <c r="A35" s="1">
        <v>22</v>
      </c>
      <c r="B35" s="8" t="s">
        <v>28</v>
      </c>
      <c r="C35" s="6"/>
      <c r="D35" s="6"/>
      <c r="E35" s="7"/>
      <c r="F35" s="6"/>
      <c r="G35" s="7"/>
      <c r="H35" s="7"/>
      <c r="I35" s="7"/>
      <c r="J35" s="7"/>
      <c r="K35" s="9"/>
      <c r="L35" s="7"/>
    </row>
    <row r="36" spans="1:12" ht="31.5" x14ac:dyDescent="0.25">
      <c r="A36" s="1"/>
      <c r="B36" s="8" t="s">
        <v>18</v>
      </c>
      <c r="C36" s="6">
        <f>медикаменти!C31</f>
        <v>0</v>
      </c>
      <c r="D36" s="6">
        <f>'зп+нарах.'!C32</f>
        <v>546</v>
      </c>
      <c r="E36" s="7">
        <f>'зп+нарах.'!D32</f>
        <v>518.69999999999993</v>
      </c>
      <c r="F36" s="6">
        <f>'зп+нарах.'!E32</f>
        <v>120.12</v>
      </c>
      <c r="G36" s="7">
        <f>'зп+нарах.'!F32</f>
        <v>114.11399999999999</v>
      </c>
      <c r="H36" s="7"/>
      <c r="I36" s="9">
        <f>1962215.5/180.5*10%</f>
        <v>1087.1000000000001</v>
      </c>
      <c r="J36" s="9">
        <f>1962215.5/180.5*10%</f>
        <v>1087.1000000000001</v>
      </c>
      <c r="K36" s="9">
        <f t="shared" si="0"/>
        <v>1753.2200000000003</v>
      </c>
      <c r="L36" s="7">
        <f t="shared" si="3"/>
        <v>1719.9140000000002</v>
      </c>
    </row>
    <row r="37" spans="1:12" ht="31.5" x14ac:dyDescent="0.25">
      <c r="A37" s="1"/>
      <c r="B37" s="8" t="s">
        <v>19</v>
      </c>
      <c r="C37" s="6">
        <f>медикаменти!C32</f>
        <v>0</v>
      </c>
      <c r="D37" s="6">
        <f>'зп+нарах.'!C33</f>
        <v>546</v>
      </c>
      <c r="E37" s="7">
        <f>'зп+нарах.'!D33</f>
        <v>518.69999999999993</v>
      </c>
      <c r="F37" s="6">
        <f>'зп+нарах.'!E33</f>
        <v>120.12</v>
      </c>
      <c r="G37" s="7">
        <f>'зп+нарах.'!F33</f>
        <v>114.11399999999999</v>
      </c>
      <c r="H37" s="7"/>
      <c r="I37" s="9">
        <f t="shared" ref="I37:J40" si="4">1962215.5/180.5*10%</f>
        <v>1087.1000000000001</v>
      </c>
      <c r="J37" s="9">
        <f t="shared" si="4"/>
        <v>1087.1000000000001</v>
      </c>
      <c r="K37" s="9">
        <f t="shared" si="0"/>
        <v>1753.2200000000003</v>
      </c>
      <c r="L37" s="7">
        <f t="shared" si="3"/>
        <v>1719.9140000000002</v>
      </c>
    </row>
    <row r="38" spans="1:12" ht="47.25" x14ac:dyDescent="0.25">
      <c r="A38" s="1"/>
      <c r="B38" s="8" t="s">
        <v>20</v>
      </c>
      <c r="C38" s="6">
        <f>медикаменти!C33</f>
        <v>0</v>
      </c>
      <c r="D38" s="6">
        <f>'зп+нарах.'!C34</f>
        <v>546</v>
      </c>
      <c r="E38" s="7">
        <f>'зп+нарах.'!D34</f>
        <v>518.69999999999993</v>
      </c>
      <c r="F38" s="6">
        <f>'зп+нарах.'!E34</f>
        <v>120.12</v>
      </c>
      <c r="G38" s="7">
        <f>'зп+нарах.'!F34</f>
        <v>114.11399999999999</v>
      </c>
      <c r="H38" s="7"/>
      <c r="I38" s="9">
        <f t="shared" si="4"/>
        <v>1087.1000000000001</v>
      </c>
      <c r="J38" s="9">
        <f t="shared" si="4"/>
        <v>1087.1000000000001</v>
      </c>
      <c r="K38" s="9">
        <f>C38+D38+F38+H38+I38</f>
        <v>1753.2200000000003</v>
      </c>
      <c r="L38" s="7">
        <f t="shared" si="3"/>
        <v>1719.9140000000002</v>
      </c>
    </row>
    <row r="39" spans="1:12" ht="15.75" x14ac:dyDescent="0.25">
      <c r="A39" s="1"/>
      <c r="B39" s="8" t="s">
        <v>21</v>
      </c>
      <c r="C39" s="6">
        <f>медикаменти!C34</f>
        <v>0</v>
      </c>
      <c r="D39" s="6">
        <f>'зп+нарах.'!C35</f>
        <v>546</v>
      </c>
      <c r="E39" s="7">
        <f>'зп+нарах.'!D35</f>
        <v>518.69999999999993</v>
      </c>
      <c r="F39" s="6">
        <f>'зп+нарах.'!E35</f>
        <v>120.12</v>
      </c>
      <c r="G39" s="7">
        <f>'зп+нарах.'!F35</f>
        <v>114.11399999999999</v>
      </c>
      <c r="H39" s="7"/>
      <c r="I39" s="9">
        <f t="shared" si="4"/>
        <v>1087.1000000000001</v>
      </c>
      <c r="J39" s="9">
        <f t="shared" si="4"/>
        <v>1087.1000000000001</v>
      </c>
      <c r="K39" s="9">
        <f t="shared" si="0"/>
        <v>1753.2200000000003</v>
      </c>
      <c r="L39" s="7">
        <f t="shared" si="3"/>
        <v>1719.9140000000002</v>
      </c>
    </row>
    <row r="40" spans="1:12" ht="15.75" x14ac:dyDescent="0.25">
      <c r="A40" s="1"/>
      <c r="B40" s="8" t="s">
        <v>22</v>
      </c>
      <c r="C40" s="6">
        <f>медикаменти!C35</f>
        <v>0</v>
      </c>
      <c r="D40" s="6">
        <f>'зп+нарах.'!C36</f>
        <v>546</v>
      </c>
      <c r="E40" s="7">
        <f>'зп+нарах.'!D36</f>
        <v>518.69999999999993</v>
      </c>
      <c r="F40" s="6">
        <f>'зп+нарах.'!E36</f>
        <v>120.12</v>
      </c>
      <c r="G40" s="7">
        <f>'зп+нарах.'!F36</f>
        <v>114.11399999999999</v>
      </c>
      <c r="H40" s="7"/>
      <c r="I40" s="9">
        <f t="shared" si="4"/>
        <v>1087.1000000000001</v>
      </c>
      <c r="J40" s="9">
        <f t="shared" si="4"/>
        <v>1087.1000000000001</v>
      </c>
      <c r="K40" s="9">
        <f t="shared" si="0"/>
        <v>1753.2200000000003</v>
      </c>
      <c r="L40" s="7">
        <f t="shared" si="3"/>
        <v>1719.9140000000002</v>
      </c>
    </row>
    <row r="41" spans="1:12" ht="58.9" customHeight="1" x14ac:dyDescent="0.25">
      <c r="A41" s="1">
        <v>23</v>
      </c>
      <c r="B41" s="8" t="s">
        <v>29</v>
      </c>
      <c r="C41" s="6">
        <f>медикаменти!C36</f>
        <v>14.6</v>
      </c>
      <c r="D41" s="6">
        <f>'зп+нарах.'!C37</f>
        <v>40.54054054054054</v>
      </c>
      <c r="E41" s="7">
        <f>'зп+нарах.'!D37</f>
        <v>0</v>
      </c>
      <c r="F41" s="6">
        <f>'зп+нарах.'!E37</f>
        <v>8.9189189189189193</v>
      </c>
      <c r="G41" s="7">
        <f>'зп+нарах.'!F37</f>
        <v>0</v>
      </c>
      <c r="H41" s="7"/>
      <c r="I41" s="7">
        <f t="shared" si="1"/>
        <v>15.405405405405405</v>
      </c>
      <c r="J41" s="9">
        <f>E41*0.38</f>
        <v>0</v>
      </c>
      <c r="K41" s="9">
        <f t="shared" si="0"/>
        <v>79.464864864864865</v>
      </c>
      <c r="L41" s="7">
        <f t="shared" si="3"/>
        <v>14.6</v>
      </c>
    </row>
    <row r="42" spans="1:12" ht="15.75" x14ac:dyDescent="0.25">
      <c r="A42" s="1">
        <v>24</v>
      </c>
      <c r="B42" s="8" t="s">
        <v>30</v>
      </c>
      <c r="C42" s="6">
        <f>медикаменти!C37</f>
        <v>2</v>
      </c>
      <c r="D42" s="6">
        <f>'зп+нарах.'!C38</f>
        <v>67.567567567567565</v>
      </c>
      <c r="E42" s="7">
        <f>'зп+нарах.'!D38</f>
        <v>64.189189189189179</v>
      </c>
      <c r="F42" s="6">
        <f>'зп+нарах.'!E38</f>
        <v>14.864864864864865</v>
      </c>
      <c r="G42" s="7">
        <f>'зп+нарах.'!F38</f>
        <v>14.121621621621619</v>
      </c>
      <c r="H42" s="7"/>
      <c r="I42" s="7">
        <f t="shared" si="1"/>
        <v>25.675675675675674</v>
      </c>
      <c r="J42" s="9">
        <f t="shared" ref="J42" si="5">E42*0.38</f>
        <v>24.391891891891888</v>
      </c>
      <c r="K42" s="9">
        <f t="shared" si="0"/>
        <v>110.10810810810811</v>
      </c>
      <c r="L42" s="7">
        <f t="shared" si="3"/>
        <v>104.70270270270268</v>
      </c>
    </row>
    <row r="43" spans="1:12" ht="31.5" x14ac:dyDescent="0.25">
      <c r="A43" s="1">
        <v>25</v>
      </c>
      <c r="B43" s="8" t="s">
        <v>42</v>
      </c>
      <c r="C43" s="6">
        <f>медикаменти!C38</f>
        <v>2.74</v>
      </c>
      <c r="D43" s="6">
        <f>'зп+нарах.'!C39</f>
        <v>0.83817708333333329</v>
      </c>
      <c r="E43" s="7" t="str">
        <f>'зп+нарах.'!D39</f>
        <v>-</v>
      </c>
      <c r="F43" s="6">
        <f>'зп+нарах.'!E39</f>
        <v>0.18439895833333333</v>
      </c>
      <c r="G43" s="7" t="str">
        <f>'зп+нарах.'!F39</f>
        <v>-</v>
      </c>
      <c r="H43" s="7"/>
      <c r="I43" s="7">
        <f>D43*0.38</f>
        <v>0.31850729166666664</v>
      </c>
      <c r="J43" s="9" t="s">
        <v>66</v>
      </c>
      <c r="K43" s="9">
        <f t="shared" si="0"/>
        <v>4.081083333333333</v>
      </c>
      <c r="L43" s="7" t="s">
        <v>66</v>
      </c>
    </row>
    <row r="44" spans="1:12" ht="15.75" x14ac:dyDescent="0.25">
      <c r="A44" s="3"/>
      <c r="B44" s="4"/>
      <c r="F44" s="23"/>
      <c r="G44" s="24"/>
    </row>
    <row r="45" spans="1:12" ht="15.75" x14ac:dyDescent="0.25">
      <c r="B45" s="44"/>
      <c r="C45" s="44"/>
      <c r="D45" s="44"/>
    </row>
    <row r="47" spans="1:12" x14ac:dyDescent="0.25">
      <c r="A47" s="43" t="s">
        <v>93</v>
      </c>
      <c r="B47" s="43"/>
      <c r="C47" s="43"/>
      <c r="D47" s="43"/>
      <c r="E47" s="43"/>
      <c r="F47" s="43"/>
      <c r="G47" s="43"/>
      <c r="H47" s="43"/>
      <c r="I47" s="43"/>
      <c r="J47" s="43"/>
      <c r="K47" s="43"/>
      <c r="L47" s="43"/>
    </row>
  </sheetData>
  <mergeCells count="15">
    <mergeCell ref="I1:L1"/>
    <mergeCell ref="I2:L2"/>
    <mergeCell ref="I3:L3"/>
    <mergeCell ref="A47:L47"/>
    <mergeCell ref="B45:D45"/>
    <mergeCell ref="A5:L5"/>
    <mergeCell ref="D7:E7"/>
    <mergeCell ref="B6:B8"/>
    <mergeCell ref="A6:A8"/>
    <mergeCell ref="C7:C8"/>
    <mergeCell ref="F7:G7"/>
    <mergeCell ref="C6:G6"/>
    <mergeCell ref="I6:J7"/>
    <mergeCell ref="K6:L7"/>
    <mergeCell ref="H6:H8"/>
  </mergeCells>
  <pageMargins left="0" right="0" top="0" bottom="0"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38" sqref="B38"/>
    </sheetView>
  </sheetViews>
  <sheetFormatPr defaultRowHeight="15" x14ac:dyDescent="0.25"/>
  <cols>
    <col min="1" max="1" width="5" customWidth="1"/>
    <col min="2" max="2" width="62.85546875" customWidth="1"/>
    <col min="3" max="3" width="24.5703125" customWidth="1"/>
  </cols>
  <sheetData>
    <row r="1" spans="1:3" ht="27" customHeight="1" x14ac:dyDescent="0.25">
      <c r="A1" s="53" t="s">
        <v>7</v>
      </c>
      <c r="B1" s="54"/>
      <c r="C1" s="55"/>
    </row>
    <row r="2" spans="1:3" ht="22.9" customHeight="1" x14ac:dyDescent="0.25">
      <c r="A2" s="48" t="s">
        <v>0</v>
      </c>
      <c r="B2" s="48" t="s">
        <v>9</v>
      </c>
      <c r="C2" s="10" t="s">
        <v>1</v>
      </c>
    </row>
    <row r="3" spans="1:3" ht="42.6" customHeight="1" x14ac:dyDescent="0.25">
      <c r="A3" s="50"/>
      <c r="B3" s="50"/>
      <c r="C3" s="2" t="s">
        <v>32</v>
      </c>
    </row>
    <row r="4" spans="1:3" ht="124.9" customHeight="1" x14ac:dyDescent="0.25">
      <c r="A4" s="1">
        <v>1</v>
      </c>
      <c r="B4" s="5" t="s">
        <v>47</v>
      </c>
      <c r="C4" s="6">
        <f>18+8+4+2.4+5.4</f>
        <v>37.799999999999997</v>
      </c>
    </row>
    <row r="5" spans="1:3" ht="111.6" customHeight="1" x14ac:dyDescent="0.25">
      <c r="A5" s="1">
        <v>2</v>
      </c>
      <c r="B5" s="11" t="s">
        <v>48</v>
      </c>
      <c r="C5" s="7">
        <f t="shared" ref="C5:C11" si="0">18+2.4+8+28+18+15</f>
        <v>89.4</v>
      </c>
    </row>
    <row r="6" spans="1:3" ht="110.25" x14ac:dyDescent="0.25">
      <c r="A6" s="1">
        <v>3</v>
      </c>
      <c r="B6" s="11" t="s">
        <v>49</v>
      </c>
      <c r="C6" s="7">
        <f t="shared" si="0"/>
        <v>89.4</v>
      </c>
    </row>
    <row r="7" spans="1:3" ht="110.25" x14ac:dyDescent="0.25">
      <c r="A7" s="1">
        <v>4</v>
      </c>
      <c r="B7" s="11" t="s">
        <v>50</v>
      </c>
      <c r="C7" s="7">
        <f t="shared" si="0"/>
        <v>89.4</v>
      </c>
    </row>
    <row r="8" spans="1:3" ht="110.25" x14ac:dyDescent="0.25">
      <c r="A8" s="1">
        <v>5</v>
      </c>
      <c r="B8" s="11" t="s">
        <v>51</v>
      </c>
      <c r="C8" s="7">
        <f t="shared" si="0"/>
        <v>89.4</v>
      </c>
    </row>
    <row r="9" spans="1:3" ht="110.25" x14ac:dyDescent="0.25">
      <c r="A9" s="1">
        <v>6</v>
      </c>
      <c r="B9" s="11" t="s">
        <v>52</v>
      </c>
      <c r="C9" s="7">
        <f t="shared" si="0"/>
        <v>89.4</v>
      </c>
    </row>
    <row r="10" spans="1:3" ht="110.25" x14ac:dyDescent="0.25">
      <c r="A10" s="1">
        <v>7</v>
      </c>
      <c r="B10" s="11" t="s">
        <v>53</v>
      </c>
      <c r="C10" s="7">
        <f t="shared" si="0"/>
        <v>89.4</v>
      </c>
    </row>
    <row r="11" spans="1:3" ht="110.25" x14ac:dyDescent="0.25">
      <c r="A11" s="1">
        <v>8</v>
      </c>
      <c r="B11" s="11" t="s">
        <v>54</v>
      </c>
      <c r="C11" s="7">
        <f t="shared" si="0"/>
        <v>89.4</v>
      </c>
    </row>
    <row r="12" spans="1:3" ht="15.75" x14ac:dyDescent="0.25">
      <c r="A12" s="1">
        <v>9</v>
      </c>
      <c r="B12" s="8" t="s">
        <v>15</v>
      </c>
      <c r="C12" s="7"/>
    </row>
    <row r="13" spans="1:3" ht="192" customHeight="1" x14ac:dyDescent="0.25">
      <c r="A13" s="1"/>
      <c r="B13" s="11" t="s">
        <v>55</v>
      </c>
      <c r="C13" s="7">
        <f>18+5+8+4+2+4.2+2.4+1.2+1.5</f>
        <v>46.300000000000004</v>
      </c>
    </row>
    <row r="14" spans="1:3" ht="258.60000000000002" customHeight="1" x14ac:dyDescent="0.25">
      <c r="A14" s="1"/>
      <c r="B14" s="11" t="s">
        <v>56</v>
      </c>
      <c r="C14" s="7">
        <f>18+5+8+4+2+4.2+2.4+1.2+1.5</f>
        <v>46.300000000000004</v>
      </c>
    </row>
    <row r="15" spans="1:3" ht="47.25" x14ac:dyDescent="0.25">
      <c r="A15" s="1">
        <v>10</v>
      </c>
      <c r="B15" s="8" t="s">
        <v>33</v>
      </c>
      <c r="C15" s="7"/>
    </row>
    <row r="16" spans="1:3" ht="31.5" x14ac:dyDescent="0.25">
      <c r="A16" s="1"/>
      <c r="B16" s="14" t="s">
        <v>40</v>
      </c>
      <c r="C16" s="9">
        <v>345.4</v>
      </c>
    </row>
    <row r="17" spans="1:3" ht="31.5" x14ac:dyDescent="0.25">
      <c r="A17" s="1"/>
      <c r="B17" s="14" t="s">
        <v>41</v>
      </c>
      <c r="C17" s="9">
        <v>345.4</v>
      </c>
    </row>
    <row r="18" spans="1:3" ht="47.25" x14ac:dyDescent="0.25">
      <c r="A18" s="1">
        <v>11</v>
      </c>
      <c r="B18" s="14" t="s">
        <v>23</v>
      </c>
      <c r="C18" s="9"/>
    </row>
    <row r="19" spans="1:3" ht="47.25" x14ac:dyDescent="0.25">
      <c r="A19" s="1">
        <v>12</v>
      </c>
      <c r="B19" s="14" t="s">
        <v>24</v>
      </c>
      <c r="C19" s="9"/>
    </row>
    <row r="20" spans="1:3" ht="207.6" customHeight="1" x14ac:dyDescent="0.25">
      <c r="A20" s="1">
        <v>13</v>
      </c>
      <c r="B20" s="11" t="s">
        <v>57</v>
      </c>
      <c r="C20" s="7">
        <f>1.5+3.85+5+2+2+2+18+2+0.75+2</f>
        <v>39.1</v>
      </c>
    </row>
    <row r="21" spans="1:3" ht="176.45" customHeight="1" x14ac:dyDescent="0.25">
      <c r="A21" s="1">
        <v>14</v>
      </c>
      <c r="B21" s="11" t="s">
        <v>58</v>
      </c>
      <c r="C21" s="7">
        <f>1.5+3.85+5+2+2+2+18+2+0.75+2</f>
        <v>39.1</v>
      </c>
    </row>
    <row r="22" spans="1:3" ht="162" customHeight="1" x14ac:dyDescent="0.25">
      <c r="A22" s="1">
        <v>15</v>
      </c>
      <c r="B22" s="11" t="s">
        <v>59</v>
      </c>
      <c r="C22" s="7">
        <f>1.5+10+5+2+2+2+18+2+0.75+2</f>
        <v>45.25</v>
      </c>
    </row>
    <row r="23" spans="1:3" ht="157.5" x14ac:dyDescent="0.25">
      <c r="A23" s="1">
        <v>16</v>
      </c>
      <c r="B23" s="11" t="s">
        <v>60</v>
      </c>
      <c r="C23" s="7">
        <f>1.5+2.5+5+2+2+2+18+2+0.75+2</f>
        <v>37.75</v>
      </c>
    </row>
    <row r="24" spans="1:3" ht="157.5" x14ac:dyDescent="0.25">
      <c r="A24" s="1">
        <v>17</v>
      </c>
      <c r="B24" s="11" t="s">
        <v>61</v>
      </c>
      <c r="C24" s="7">
        <f>1.5+4+5+2+2+2+18+2+0.75+2</f>
        <v>39.25</v>
      </c>
    </row>
    <row r="25" spans="1:3" ht="149.44999999999999" customHeight="1" x14ac:dyDescent="0.25">
      <c r="A25" s="1">
        <v>18</v>
      </c>
      <c r="B25" s="11" t="s">
        <v>62</v>
      </c>
      <c r="C25" s="7">
        <f>1.5+2+5+2+2+2+18+2+0.75+3.85</f>
        <v>39.1</v>
      </c>
    </row>
    <row r="26" spans="1:3" ht="63" x14ac:dyDescent="0.25">
      <c r="A26" s="1">
        <v>19</v>
      </c>
      <c r="B26" s="14" t="s">
        <v>25</v>
      </c>
      <c r="C26" s="9"/>
    </row>
    <row r="27" spans="1:3" ht="31.5" x14ac:dyDescent="0.25">
      <c r="A27" s="1"/>
      <c r="B27" s="14" t="s">
        <v>43</v>
      </c>
      <c r="C27" s="9"/>
    </row>
    <row r="28" spans="1:3" ht="63" x14ac:dyDescent="0.25">
      <c r="A28" s="1">
        <v>20</v>
      </c>
      <c r="B28" s="14" t="s">
        <v>26</v>
      </c>
      <c r="C28" s="9"/>
    </row>
    <row r="29" spans="1:3" ht="15.75" x14ac:dyDescent="0.25">
      <c r="A29" s="1">
        <v>21</v>
      </c>
      <c r="B29" s="8" t="s">
        <v>27</v>
      </c>
      <c r="C29" s="7"/>
    </row>
    <row r="30" spans="1:3" ht="47.25" x14ac:dyDescent="0.25">
      <c r="A30" s="1">
        <v>22</v>
      </c>
      <c r="B30" s="8" t="s">
        <v>28</v>
      </c>
      <c r="C30" s="7"/>
    </row>
    <row r="31" spans="1:3" ht="31.5" x14ac:dyDescent="0.25">
      <c r="A31" s="1"/>
      <c r="B31" s="8" t="s">
        <v>18</v>
      </c>
      <c r="C31" s="7"/>
    </row>
    <row r="32" spans="1:3" ht="31.5" x14ac:dyDescent="0.25">
      <c r="A32" s="1"/>
      <c r="B32" s="8" t="s">
        <v>19</v>
      </c>
      <c r="C32" s="7"/>
    </row>
    <row r="33" spans="1:3" ht="31.5" x14ac:dyDescent="0.25">
      <c r="A33" s="1"/>
      <c r="B33" s="8" t="s">
        <v>20</v>
      </c>
      <c r="C33" s="7"/>
    </row>
    <row r="34" spans="1:3" ht="15.75" x14ac:dyDescent="0.25">
      <c r="A34" s="1"/>
      <c r="B34" s="8" t="s">
        <v>21</v>
      </c>
      <c r="C34" s="7"/>
    </row>
    <row r="35" spans="1:3" ht="15.75" x14ac:dyDescent="0.25">
      <c r="A35" s="1"/>
      <c r="B35" s="8" t="s">
        <v>22</v>
      </c>
      <c r="C35" s="7"/>
    </row>
    <row r="36" spans="1:3" ht="93" customHeight="1" x14ac:dyDescent="0.25">
      <c r="A36" s="1">
        <v>23</v>
      </c>
      <c r="B36" s="15" t="s">
        <v>70</v>
      </c>
      <c r="C36" s="9">
        <f>0.6+2+10+2</f>
        <v>14.6</v>
      </c>
    </row>
    <row r="37" spans="1:3" ht="31.5" x14ac:dyDescent="0.25">
      <c r="A37" s="1">
        <v>24</v>
      </c>
      <c r="B37" s="11" t="s">
        <v>45</v>
      </c>
      <c r="C37" s="7">
        <v>2</v>
      </c>
    </row>
    <row r="38" spans="1:3" ht="31.5" x14ac:dyDescent="0.25">
      <c r="A38" s="1">
        <v>25</v>
      </c>
      <c r="B38" s="8" t="s">
        <v>42</v>
      </c>
      <c r="C38" s="9">
        <v>2.74</v>
      </c>
    </row>
    <row r="39" spans="1:3" ht="15.75" x14ac:dyDescent="0.25">
      <c r="A39" s="3"/>
      <c r="B39" s="4"/>
    </row>
  </sheetData>
  <mergeCells count="3">
    <mergeCell ref="A2:A3"/>
    <mergeCell ref="B2:B3"/>
    <mergeCell ref="A1:C1"/>
  </mergeCells>
  <pageMargins left="0.11811023622047245" right="0.11811023622047245" top="0" bottom="0"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B10" sqref="B10"/>
    </sheetView>
  </sheetViews>
  <sheetFormatPr defaultColWidth="8.85546875" defaultRowHeight="15" x14ac:dyDescent="0.25"/>
  <cols>
    <col min="1" max="1" width="5" style="34" customWidth="1"/>
    <col min="2" max="2" width="58.85546875" style="34" customWidth="1"/>
    <col min="3" max="3" width="9.5703125" style="34" customWidth="1"/>
    <col min="4" max="4" width="8.7109375" style="34" customWidth="1"/>
    <col min="5" max="6" width="9" style="34" customWidth="1"/>
    <col min="7" max="16384" width="8.85546875" style="34"/>
  </cols>
  <sheetData>
    <row r="1" spans="1:9" ht="27" customHeight="1" x14ac:dyDescent="0.25">
      <c r="A1" s="45" t="s">
        <v>7</v>
      </c>
      <c r="B1" s="45"/>
      <c r="C1" s="45"/>
      <c r="D1" s="45"/>
      <c r="E1" s="45"/>
      <c r="F1" s="45"/>
    </row>
    <row r="2" spans="1:9" ht="16.149999999999999" customHeight="1" x14ac:dyDescent="0.25">
      <c r="A2" s="45" t="s">
        <v>0</v>
      </c>
      <c r="B2" s="45" t="s">
        <v>9</v>
      </c>
      <c r="C2" s="45" t="s">
        <v>1</v>
      </c>
      <c r="D2" s="45"/>
      <c r="E2" s="45"/>
      <c r="F2" s="45"/>
    </row>
    <row r="3" spans="1:9" ht="20.45" customHeight="1" x14ac:dyDescent="0.25">
      <c r="A3" s="45"/>
      <c r="B3" s="45"/>
      <c r="C3" s="64" t="s">
        <v>63</v>
      </c>
      <c r="D3" s="64"/>
      <c r="E3" s="64" t="s">
        <v>3</v>
      </c>
      <c r="F3" s="64"/>
    </row>
    <row r="4" spans="1:9" ht="34.9" customHeight="1" x14ac:dyDescent="0.25">
      <c r="A4" s="45"/>
      <c r="B4" s="45"/>
      <c r="C4" s="22" t="s">
        <v>65</v>
      </c>
      <c r="D4" s="22" t="s">
        <v>64</v>
      </c>
      <c r="E4" s="13" t="s">
        <v>68</v>
      </c>
      <c r="F4" s="13" t="s">
        <v>69</v>
      </c>
    </row>
    <row r="5" spans="1:9" ht="29.45" customHeight="1" x14ac:dyDescent="0.25">
      <c r="A5" s="1">
        <v>1</v>
      </c>
      <c r="B5" s="5" t="s">
        <v>47</v>
      </c>
      <c r="C5" s="6">
        <f>(8500/20/7.4/60*80)+(7392/20/7.4/60*15)+(6050/20/7.4/60*10)</f>
        <v>95.876126126126124</v>
      </c>
      <c r="D5" s="6" t="s">
        <v>66</v>
      </c>
      <c r="E5" s="7">
        <f>C5*22%</f>
        <v>21.092747747747747</v>
      </c>
      <c r="F5" s="7" t="s">
        <v>66</v>
      </c>
    </row>
    <row r="6" spans="1:9" ht="15" customHeight="1" x14ac:dyDescent="0.25">
      <c r="A6" s="1">
        <v>2</v>
      </c>
      <c r="B6" s="11" t="s">
        <v>48</v>
      </c>
      <c r="C6" s="6">
        <f>(8500/20/7.4/60*85)+(7392/20/7.4/60*20)+(6050/20/7.4/60*10)</f>
        <v>104.82432432432432</v>
      </c>
      <c r="D6" s="6" t="s">
        <v>66</v>
      </c>
      <c r="E6" s="7">
        <f t="shared" ref="E6:E12" si="0">C6*22%</f>
        <v>23.061351351351352</v>
      </c>
      <c r="F6" s="7" t="s">
        <v>66</v>
      </c>
      <c r="G6" s="36"/>
      <c r="H6" s="36"/>
      <c r="I6" s="36"/>
    </row>
    <row r="7" spans="1:9" ht="10.9" customHeight="1" x14ac:dyDescent="0.25">
      <c r="A7" s="1">
        <v>3</v>
      </c>
      <c r="B7" s="11" t="s">
        <v>49</v>
      </c>
      <c r="C7" s="6">
        <f>(8500/20/7.4/60*85)+(7392/20/7.4/60*20)+(6050/20/7.4/60*10)</f>
        <v>104.82432432432432</v>
      </c>
      <c r="D7" s="6" t="s">
        <v>66</v>
      </c>
      <c r="E7" s="7">
        <f t="shared" si="0"/>
        <v>23.061351351351352</v>
      </c>
      <c r="F7" s="7" t="s">
        <v>66</v>
      </c>
    </row>
    <row r="8" spans="1:9" ht="12" customHeight="1" x14ac:dyDescent="0.25">
      <c r="A8" s="1">
        <v>4</v>
      </c>
      <c r="B8" s="11" t="s">
        <v>50</v>
      </c>
      <c r="C8" s="6">
        <f>(8500/20/7.4/60*60)+(7392/20/7.4/60*5)+(6050/20/7.4/60*10)</f>
        <v>68.407657657657651</v>
      </c>
      <c r="D8" s="6" t="s">
        <v>66</v>
      </c>
      <c r="E8" s="7">
        <f t="shared" si="0"/>
        <v>15.049684684684683</v>
      </c>
      <c r="F8" s="7" t="s">
        <v>66</v>
      </c>
    </row>
    <row r="9" spans="1:9" ht="13.15" customHeight="1" x14ac:dyDescent="0.25">
      <c r="A9" s="1">
        <v>5</v>
      </c>
      <c r="B9" s="11" t="s">
        <v>51</v>
      </c>
      <c r="C9" s="6">
        <f>(8500/20/7.4/60*80)+(7392/20/7.4/60*5)+(6050/20/7.4/60*10)</f>
        <v>87.551801801801801</v>
      </c>
      <c r="D9" s="6" t="s">
        <v>66</v>
      </c>
      <c r="E9" s="7">
        <f t="shared" si="0"/>
        <v>19.261396396396396</v>
      </c>
      <c r="F9" s="7" t="s">
        <v>66</v>
      </c>
    </row>
    <row r="10" spans="1:9" ht="14.45" customHeight="1" x14ac:dyDescent="0.25">
      <c r="A10" s="1">
        <v>6</v>
      </c>
      <c r="B10" s="11" t="s">
        <v>52</v>
      </c>
      <c r="C10" s="6">
        <f>(8500/20/7.4/60*75)+(7392/20/7.4/60*20)+(6050/20/7.4/60*10)</f>
        <v>95.252252252252248</v>
      </c>
      <c r="D10" s="6" t="s">
        <v>66</v>
      </c>
      <c r="E10" s="7">
        <f t="shared" si="0"/>
        <v>20.955495495495494</v>
      </c>
      <c r="F10" s="7" t="s">
        <v>66</v>
      </c>
    </row>
    <row r="11" spans="1:9" ht="13.15" customHeight="1" x14ac:dyDescent="0.25">
      <c r="A11" s="1">
        <v>7</v>
      </c>
      <c r="B11" s="11" t="s">
        <v>53</v>
      </c>
      <c r="C11" s="6">
        <f>(8500/20/7.4/60*75)+(7392/20/7.4/60*20)+(6050/20/7.4/60*10)</f>
        <v>95.252252252252248</v>
      </c>
      <c r="D11" s="6" t="s">
        <v>66</v>
      </c>
      <c r="E11" s="7">
        <f t="shared" si="0"/>
        <v>20.955495495495494</v>
      </c>
      <c r="F11" s="7" t="s">
        <v>66</v>
      </c>
    </row>
    <row r="12" spans="1:9" ht="14.45" customHeight="1" x14ac:dyDescent="0.25">
      <c r="A12" s="1">
        <v>8</v>
      </c>
      <c r="B12" s="11" t="s">
        <v>54</v>
      </c>
      <c r="C12" s="6">
        <f>(8500/20/7.4/60*75)+(7392/20/7.4/60*20)+(6050/20/7.4/60*10)</f>
        <v>95.252252252252248</v>
      </c>
      <c r="D12" s="6" t="s">
        <v>66</v>
      </c>
      <c r="E12" s="7">
        <f t="shared" si="0"/>
        <v>20.955495495495494</v>
      </c>
      <c r="F12" s="7" t="s">
        <v>66</v>
      </c>
    </row>
    <row r="13" spans="1:9" ht="15.75" x14ac:dyDescent="0.25">
      <c r="A13" s="1">
        <v>9</v>
      </c>
      <c r="B13" s="8" t="s">
        <v>15</v>
      </c>
      <c r="C13" s="7"/>
      <c r="D13" s="7"/>
      <c r="E13" s="7"/>
      <c r="F13" s="16"/>
    </row>
    <row r="14" spans="1:9" ht="43.9" customHeight="1" x14ac:dyDescent="0.25">
      <c r="A14" s="1"/>
      <c r="B14" s="39" t="s">
        <v>87</v>
      </c>
      <c r="C14" s="17">
        <f>(6000/20/7.4/60*24)+(7392/20/7.4/60*11)+(6050/20/7.4/60*5)</f>
        <v>28.779504504504505</v>
      </c>
      <c r="D14" s="17">
        <f>(5700/20/7.4/60*17)+(7392/20/7.4/60*19)+(6050/20/7.4/60*5)</f>
        <v>30.134909909909904</v>
      </c>
      <c r="E14" s="7">
        <f>C14*22%</f>
        <v>6.3314909909909911</v>
      </c>
      <c r="F14" s="7">
        <f>D14*22%</f>
        <v>6.6296801801801788</v>
      </c>
    </row>
    <row r="15" spans="1:9" ht="97.15" customHeight="1" x14ac:dyDescent="0.25">
      <c r="A15" s="1"/>
      <c r="B15" s="39" t="s">
        <v>88</v>
      </c>
      <c r="C15" s="17">
        <f>(6000/20/7.4/60*24)+(7392/20/7.4/60*11)+(6050/20/7.4/60*5)</f>
        <v>28.779504504504505</v>
      </c>
      <c r="D15" s="17">
        <f>(5700/20/7.4/60*17)+(7392/20/7.4/60*19)+(6050/20/7.4/60*5)</f>
        <v>30.134909909909904</v>
      </c>
      <c r="E15" s="7">
        <f t="shared" ref="E15:E39" si="1">C15*22%</f>
        <v>6.3314909909909911</v>
      </c>
      <c r="F15" s="7">
        <f t="shared" ref="F15:F38" si="2">D15*22%</f>
        <v>6.6296801801801788</v>
      </c>
    </row>
    <row r="16" spans="1:9" ht="47.25" x14ac:dyDescent="0.25">
      <c r="A16" s="1">
        <v>10</v>
      </c>
      <c r="B16" s="8" t="s">
        <v>33</v>
      </c>
      <c r="C16" s="17"/>
      <c r="D16" s="7" t="s">
        <v>66</v>
      </c>
      <c r="E16" s="7" t="s">
        <v>66</v>
      </c>
      <c r="F16" s="7" t="str">
        <f>D16</f>
        <v>-</v>
      </c>
    </row>
    <row r="17" spans="1:6" ht="31.5" x14ac:dyDescent="0.25">
      <c r="A17" s="1"/>
      <c r="B17" s="14" t="s">
        <v>40</v>
      </c>
      <c r="C17" s="18">
        <f>6000/20/7.4/60*60</f>
        <v>40.54054054054054</v>
      </c>
      <c r="D17" s="9" t="s">
        <v>66</v>
      </c>
      <c r="E17" s="7">
        <f t="shared" si="1"/>
        <v>8.9189189189189193</v>
      </c>
      <c r="F17" s="7" t="str">
        <f t="shared" ref="F17:F19" si="3">D17</f>
        <v>-</v>
      </c>
    </row>
    <row r="18" spans="1:6" ht="31.5" x14ac:dyDescent="0.25">
      <c r="A18" s="1"/>
      <c r="B18" s="14" t="s">
        <v>41</v>
      </c>
      <c r="C18" s="18">
        <f>4800/20/7.4/60*60</f>
        <v>32.432432432432428</v>
      </c>
      <c r="D18" s="9" t="s">
        <v>66</v>
      </c>
      <c r="E18" s="7">
        <f t="shared" si="1"/>
        <v>7.1351351351351342</v>
      </c>
      <c r="F18" s="7" t="str">
        <f t="shared" si="3"/>
        <v>-</v>
      </c>
    </row>
    <row r="19" spans="1:6" ht="47.25" x14ac:dyDescent="0.25">
      <c r="A19" s="1">
        <v>11</v>
      </c>
      <c r="B19" s="14" t="s">
        <v>23</v>
      </c>
      <c r="C19" s="18">
        <f>(6000/20/7.4/60*60)+(4800/20/7.4/60*0)</f>
        <v>40.54054054054054</v>
      </c>
      <c r="D19" s="9" t="s">
        <v>66</v>
      </c>
      <c r="E19" s="7">
        <f t="shared" si="1"/>
        <v>8.9189189189189193</v>
      </c>
      <c r="F19" s="7" t="str">
        <f t="shared" si="3"/>
        <v>-</v>
      </c>
    </row>
    <row r="20" spans="1:6" ht="47.25" x14ac:dyDescent="0.25">
      <c r="A20" s="1">
        <v>12</v>
      </c>
      <c r="B20" s="14" t="s">
        <v>24</v>
      </c>
      <c r="C20" s="18">
        <f>(6000/20/7.4/60*60)+(4800/20/7.4/60*0)</f>
        <v>40.54054054054054</v>
      </c>
      <c r="D20" s="9">
        <f>5700/20/7.4/60*60</f>
        <v>38.513513513513509</v>
      </c>
      <c r="E20" s="7">
        <f t="shared" si="1"/>
        <v>8.9189189189189193</v>
      </c>
      <c r="F20" s="7">
        <f t="shared" si="2"/>
        <v>8.4729729729729719</v>
      </c>
    </row>
    <row r="21" spans="1:6" ht="93.6" customHeight="1" x14ac:dyDescent="0.25">
      <c r="A21" s="1">
        <v>13</v>
      </c>
      <c r="B21" s="11" t="s">
        <v>89</v>
      </c>
      <c r="C21" s="17">
        <f>(6000/20/7.4/60*13)+(7392/20/7.4/60*22)+(6050/20/7.4/60*5)</f>
        <v>30.503828828828826</v>
      </c>
      <c r="D21" s="17">
        <f>(5700/20/7.4/60*31)+(7392/20/7.4/60*22)+(6050/20/7.4/60*5)</f>
        <v>41.618693693693693</v>
      </c>
      <c r="E21" s="7">
        <f t="shared" si="1"/>
        <v>6.7108423423423416</v>
      </c>
      <c r="F21" s="7">
        <f t="shared" si="2"/>
        <v>9.1561126126126133</v>
      </c>
    </row>
    <row r="22" spans="1:6" ht="65.45" customHeight="1" x14ac:dyDescent="0.25">
      <c r="A22" s="1">
        <v>14</v>
      </c>
      <c r="B22" s="25" t="s">
        <v>34</v>
      </c>
      <c r="C22" s="17">
        <f>(6000/20/7.4/60*13)+(7392/20/7.4/60*22)+(6050/20/7.4/60*5)</f>
        <v>30.503828828828826</v>
      </c>
      <c r="D22" s="17">
        <f>(5700/20/7.4/60*31)+(7392/20/7.4/60*22)+(6050/20/7.4/60*5)</f>
        <v>41.618693693693693</v>
      </c>
      <c r="E22" s="7">
        <f t="shared" si="1"/>
        <v>6.7108423423423416</v>
      </c>
      <c r="F22" s="7">
        <f t="shared" si="2"/>
        <v>9.1561126126126133</v>
      </c>
    </row>
    <row r="23" spans="1:6" ht="30.6" customHeight="1" x14ac:dyDescent="0.25">
      <c r="A23" s="1">
        <v>15</v>
      </c>
      <c r="B23" s="11" t="s">
        <v>36</v>
      </c>
      <c r="C23" s="17">
        <f>(6000/20/7.4/60*18)+(7392/20/7.4/60*74)+(6050/20/7.4/60*5)</f>
        <v>77.168693693693683</v>
      </c>
      <c r="D23" s="7" t="s">
        <v>66</v>
      </c>
      <c r="E23" s="7">
        <f t="shared" si="1"/>
        <v>16.977112612612611</v>
      </c>
      <c r="F23" s="7" t="e">
        <f>D23*22%</f>
        <v>#VALUE!</v>
      </c>
    </row>
    <row r="24" spans="1:6" ht="28.9" customHeight="1" x14ac:dyDescent="0.25">
      <c r="A24" s="1">
        <v>16</v>
      </c>
      <c r="B24" s="11" t="s">
        <v>37</v>
      </c>
      <c r="C24" s="17">
        <f>(6000/20/7.4/60*13)+(7392/20/7.4/60*24)+(6050/20/7.4/60*5)</f>
        <v>32.168693693693697</v>
      </c>
      <c r="D24" s="7" t="s">
        <v>66</v>
      </c>
      <c r="E24" s="7">
        <f t="shared" si="1"/>
        <v>7.0771126126126136</v>
      </c>
      <c r="F24" s="7" t="s">
        <v>66</v>
      </c>
    </row>
    <row r="25" spans="1:6" ht="30" customHeight="1" x14ac:dyDescent="0.25">
      <c r="A25" s="1">
        <v>17</v>
      </c>
      <c r="B25" s="11" t="s">
        <v>38</v>
      </c>
      <c r="C25" s="17">
        <f>(6000/20/7.4/60*10)+(7392/20/7.4/60*33)+(6050/20/7.4/60*5)</f>
        <v>37.633558558558562</v>
      </c>
      <c r="D25" s="7">
        <f>7392/20/7.4/60*17</f>
        <v>14.15135135135135</v>
      </c>
      <c r="E25" s="7">
        <f t="shared" si="1"/>
        <v>8.2793828828828833</v>
      </c>
      <c r="F25" s="7">
        <f t="shared" si="2"/>
        <v>3.1132972972972968</v>
      </c>
    </row>
    <row r="26" spans="1:6" ht="28.9" customHeight="1" x14ac:dyDescent="0.25">
      <c r="A26" s="1">
        <v>18</v>
      </c>
      <c r="B26" s="11" t="s">
        <v>39</v>
      </c>
      <c r="C26" s="17">
        <f>(6000/20/7.4/60*10)+(7392/20/7.4/60*13)+(6050/20/7.4/60*0)</f>
        <v>17.578378378378375</v>
      </c>
      <c r="D26" s="7">
        <f>7392/20/7.4/60*17</f>
        <v>14.15135135135135</v>
      </c>
      <c r="E26" s="7">
        <f t="shared" si="1"/>
        <v>3.8672432432432426</v>
      </c>
      <c r="F26" s="7">
        <f t="shared" si="2"/>
        <v>3.1132972972972968</v>
      </c>
    </row>
    <row r="27" spans="1:6" ht="63" x14ac:dyDescent="0.25">
      <c r="A27" s="1">
        <v>19</v>
      </c>
      <c r="B27" s="19" t="s">
        <v>25</v>
      </c>
      <c r="C27" s="18">
        <f>(6000/20/7.4/60*60)+(4800/20/7.4/60*60)</f>
        <v>72.972972972972968</v>
      </c>
      <c r="D27" s="18">
        <f>(5700/20/7.4/60*60)+(4800/20/7.4/60*60)</f>
        <v>70.945945945945937</v>
      </c>
      <c r="E27" s="7">
        <f t="shared" si="1"/>
        <v>16.054054054054053</v>
      </c>
      <c r="F27" s="7">
        <f t="shared" si="2"/>
        <v>15.608108108108107</v>
      </c>
    </row>
    <row r="28" spans="1:6" ht="47.25" x14ac:dyDescent="0.25">
      <c r="A28" s="1"/>
      <c r="B28" s="19" t="s">
        <v>43</v>
      </c>
      <c r="C28" s="18">
        <f>(6000/20/7.4/60*60)+(4800/20/7.4/60*60)</f>
        <v>72.972972972972968</v>
      </c>
      <c r="D28" s="9"/>
      <c r="E28" s="7">
        <f t="shared" si="1"/>
        <v>16.054054054054053</v>
      </c>
      <c r="F28" s="7">
        <f t="shared" si="2"/>
        <v>0</v>
      </c>
    </row>
    <row r="29" spans="1:6" ht="63" x14ac:dyDescent="0.25">
      <c r="A29" s="1">
        <v>20</v>
      </c>
      <c r="B29" s="19" t="s">
        <v>26</v>
      </c>
      <c r="C29" s="18">
        <f>(6000/20/7.4/60*60)+(4800/20/7.4/60*60)</f>
        <v>72.972972972972968</v>
      </c>
      <c r="D29" s="9"/>
      <c r="E29" s="7">
        <f t="shared" si="1"/>
        <v>16.054054054054053</v>
      </c>
      <c r="F29" s="7">
        <f t="shared" si="2"/>
        <v>0</v>
      </c>
    </row>
    <row r="30" spans="1:6" ht="15.75" x14ac:dyDescent="0.25">
      <c r="A30" s="1">
        <v>21</v>
      </c>
      <c r="B30" s="8" t="s">
        <v>27</v>
      </c>
      <c r="C30" s="12"/>
      <c r="D30" s="9">
        <f>5700/20/7.4/60*20</f>
        <v>12.837837837837835</v>
      </c>
      <c r="E30" s="7">
        <f t="shared" si="1"/>
        <v>0</v>
      </c>
      <c r="F30" s="7">
        <f t="shared" si="2"/>
        <v>2.8243243243243237</v>
      </c>
    </row>
    <row r="31" spans="1:6" ht="47.25" x14ac:dyDescent="0.25">
      <c r="A31" s="1">
        <v>22</v>
      </c>
      <c r="B31" s="8" t="s">
        <v>28</v>
      </c>
      <c r="C31" s="12"/>
      <c r="D31" s="9"/>
      <c r="E31" s="7">
        <f t="shared" si="1"/>
        <v>0</v>
      </c>
      <c r="F31" s="7">
        <f t="shared" si="2"/>
        <v>0</v>
      </c>
    </row>
    <row r="32" spans="1:6" ht="31.5" x14ac:dyDescent="0.25">
      <c r="A32" s="1"/>
      <c r="B32" s="8" t="s">
        <v>18</v>
      </c>
      <c r="C32" s="17">
        <f>6000*4.55%*0.5*4</f>
        <v>546</v>
      </c>
      <c r="D32" s="9">
        <f>5700*4.55%*0.5*4</f>
        <v>518.69999999999993</v>
      </c>
      <c r="E32" s="7">
        <f t="shared" si="1"/>
        <v>120.12</v>
      </c>
      <c r="F32" s="7">
        <f t="shared" si="2"/>
        <v>114.11399999999999</v>
      </c>
    </row>
    <row r="33" spans="1:6" ht="31.5" x14ac:dyDescent="0.25">
      <c r="A33" s="1"/>
      <c r="B33" s="8" t="s">
        <v>19</v>
      </c>
      <c r="C33" s="17">
        <f t="shared" ref="C33:C36" si="4">6000*4.55%*0.5*4</f>
        <v>546</v>
      </c>
      <c r="D33" s="9">
        <f t="shared" ref="D33:D36" si="5">5700*4.55%*0.5*4</f>
        <v>518.69999999999993</v>
      </c>
      <c r="E33" s="7">
        <f t="shared" si="1"/>
        <v>120.12</v>
      </c>
      <c r="F33" s="7">
        <f t="shared" si="2"/>
        <v>114.11399999999999</v>
      </c>
    </row>
    <row r="34" spans="1:6" ht="47.25" x14ac:dyDescent="0.25">
      <c r="A34" s="1"/>
      <c r="B34" s="8" t="s">
        <v>20</v>
      </c>
      <c r="C34" s="17">
        <f t="shared" si="4"/>
        <v>546</v>
      </c>
      <c r="D34" s="9">
        <f t="shared" si="5"/>
        <v>518.69999999999993</v>
      </c>
      <c r="E34" s="7">
        <f t="shared" si="1"/>
        <v>120.12</v>
      </c>
      <c r="F34" s="7">
        <f t="shared" si="2"/>
        <v>114.11399999999999</v>
      </c>
    </row>
    <row r="35" spans="1:6" ht="15.75" x14ac:dyDescent="0.25">
      <c r="A35" s="1"/>
      <c r="B35" s="8" t="s">
        <v>21</v>
      </c>
      <c r="C35" s="17">
        <f t="shared" si="4"/>
        <v>546</v>
      </c>
      <c r="D35" s="9">
        <f t="shared" si="5"/>
        <v>518.69999999999993</v>
      </c>
      <c r="E35" s="7">
        <f t="shared" si="1"/>
        <v>120.12</v>
      </c>
      <c r="F35" s="7">
        <f t="shared" si="2"/>
        <v>114.11399999999999</v>
      </c>
    </row>
    <row r="36" spans="1:6" ht="15.75" x14ac:dyDescent="0.25">
      <c r="A36" s="1"/>
      <c r="B36" s="8" t="s">
        <v>22</v>
      </c>
      <c r="C36" s="17">
        <f t="shared" si="4"/>
        <v>546</v>
      </c>
      <c r="D36" s="9">
        <f t="shared" si="5"/>
        <v>518.69999999999993</v>
      </c>
      <c r="E36" s="7">
        <f t="shared" si="1"/>
        <v>120.12</v>
      </c>
      <c r="F36" s="7">
        <f t="shared" si="2"/>
        <v>114.11399999999999</v>
      </c>
    </row>
    <row r="37" spans="1:6" ht="39.6" customHeight="1" x14ac:dyDescent="0.25">
      <c r="A37" s="1">
        <v>23</v>
      </c>
      <c r="B37" s="14" t="s">
        <v>46</v>
      </c>
      <c r="C37" s="18">
        <f>6000/20/7.4/60*60</f>
        <v>40.54054054054054</v>
      </c>
      <c r="D37" s="9"/>
      <c r="E37" s="7">
        <f t="shared" si="1"/>
        <v>8.9189189189189193</v>
      </c>
      <c r="F37" s="7">
        <f t="shared" si="2"/>
        <v>0</v>
      </c>
    </row>
    <row r="38" spans="1:6" ht="31.5" x14ac:dyDescent="0.25">
      <c r="A38" s="1">
        <v>24</v>
      </c>
      <c r="B38" s="20" t="s">
        <v>45</v>
      </c>
      <c r="C38" s="18">
        <f>6000/20/7.4/60*100</f>
        <v>67.567567567567565</v>
      </c>
      <c r="D38" s="9">
        <f>5700/20/7.4/60*100</f>
        <v>64.189189189189179</v>
      </c>
      <c r="E38" s="7">
        <f t="shared" si="1"/>
        <v>14.864864864864865</v>
      </c>
      <c r="F38" s="7">
        <f t="shared" si="2"/>
        <v>14.121621621621619</v>
      </c>
    </row>
    <row r="39" spans="1:6" ht="31.5" x14ac:dyDescent="0.25">
      <c r="A39" s="1">
        <v>25</v>
      </c>
      <c r="B39" s="14" t="s">
        <v>67</v>
      </c>
      <c r="C39" s="18">
        <f>8046.5/20/8/60</f>
        <v>0.83817708333333329</v>
      </c>
      <c r="D39" s="9" t="s">
        <v>66</v>
      </c>
      <c r="E39" s="7">
        <f t="shared" si="1"/>
        <v>0.18439895833333333</v>
      </c>
      <c r="F39" s="7" t="s">
        <v>66</v>
      </c>
    </row>
    <row r="40" spans="1:6" ht="15.75" x14ac:dyDescent="0.25">
      <c r="A40" s="35"/>
      <c r="B40" s="37"/>
    </row>
  </sheetData>
  <mergeCells count="6">
    <mergeCell ref="A1:F1"/>
    <mergeCell ref="A2:A4"/>
    <mergeCell ref="B2:B4"/>
    <mergeCell ref="C3:D3"/>
    <mergeCell ref="C2:F2"/>
    <mergeCell ref="E3:F3"/>
  </mergeCells>
  <pageMargins left="0.11811023622047245" right="0.11811023622047245" top="0.15748031496062992"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B8" sqref="B8"/>
    </sheetView>
  </sheetViews>
  <sheetFormatPr defaultColWidth="8.85546875" defaultRowHeight="15" x14ac:dyDescent="0.25"/>
  <cols>
    <col min="1" max="1" width="17.5703125" style="21" customWidth="1"/>
    <col min="2" max="2" width="17.85546875" style="21" customWidth="1"/>
    <col min="3" max="3" width="33.85546875" style="21" customWidth="1"/>
    <col min="4" max="4" width="12.28515625" style="21" customWidth="1"/>
    <col min="5" max="5" width="15.7109375" style="21" customWidth="1"/>
    <col min="6" max="6" width="18.7109375" style="21" customWidth="1"/>
    <col min="7" max="7" width="14.140625" style="21" customWidth="1"/>
    <col min="8" max="8" width="13.7109375" style="21" customWidth="1"/>
    <col min="9" max="9" width="23.85546875" style="21" customWidth="1"/>
    <col min="10" max="10" width="12.7109375" style="21" customWidth="1"/>
    <col min="11" max="16384" width="8.85546875" style="21"/>
  </cols>
  <sheetData>
    <row r="1" spans="1:8" ht="27" customHeight="1" x14ac:dyDescent="0.25">
      <c r="A1" s="65" t="s">
        <v>5</v>
      </c>
      <c r="B1" s="65"/>
    </row>
    <row r="2" spans="1:8" ht="41.45" customHeight="1" x14ac:dyDescent="0.25">
      <c r="A2" s="27" t="s">
        <v>73</v>
      </c>
      <c r="B2" s="27" t="s">
        <v>74</v>
      </c>
      <c r="C2" s="27" t="s">
        <v>75</v>
      </c>
      <c r="D2" s="27" t="s">
        <v>86</v>
      </c>
      <c r="E2" s="26" t="s">
        <v>78</v>
      </c>
      <c r="F2" s="27" t="s">
        <v>79</v>
      </c>
      <c r="G2" s="27" t="s">
        <v>82</v>
      </c>
      <c r="H2" s="26" t="s">
        <v>81</v>
      </c>
    </row>
    <row r="3" spans="1:8" ht="66.599999999999994" customHeight="1" x14ac:dyDescent="0.25">
      <c r="A3" s="30" t="s">
        <v>71</v>
      </c>
      <c r="B3" s="30" t="s">
        <v>72</v>
      </c>
      <c r="C3" s="30" t="s">
        <v>77</v>
      </c>
      <c r="D3" s="30" t="s">
        <v>76</v>
      </c>
      <c r="E3" s="31"/>
      <c r="F3" s="28" t="s">
        <v>80</v>
      </c>
      <c r="G3" s="28" t="s">
        <v>83</v>
      </c>
      <c r="H3" s="32"/>
    </row>
    <row r="4" spans="1:8" ht="39" customHeight="1" x14ac:dyDescent="0.25">
      <c r="A4" s="30">
        <f>74800+39651</f>
        <v>114451</v>
      </c>
      <c r="B4" s="30">
        <f>3400+6800+53976</f>
        <v>64176</v>
      </c>
      <c r="C4" s="9">
        <f>(102300/6)+(62075/6)+(8045/6)+(95874/10)</f>
        <v>38324.066666666666</v>
      </c>
      <c r="D4" s="30">
        <f>391205/10</f>
        <v>39120.5</v>
      </c>
      <c r="E4" s="33">
        <f>SUM(A4:D4)</f>
        <v>256071.56666666665</v>
      </c>
      <c r="F4" s="29">
        <f>(450284.31+424520.55+335609.25+349768.92)/4</f>
        <v>390045.75749999995</v>
      </c>
      <c r="G4" s="27">
        <f>(330823.3+302148.26+250860.32+267242.8)/4</f>
        <v>287768.67000000004</v>
      </c>
      <c r="H4" s="29">
        <f>E4/(F4+G4)</f>
        <v>0.37779007981748314</v>
      </c>
    </row>
  </sheetData>
  <mergeCells count="1">
    <mergeCell ref="A1:B1"/>
  </mergeCells>
  <pageMargins left="0" right="0" top="0" bottom="0" header="0.31496062992125984"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медикаменти</vt:lpstr>
      <vt:lpstr>зп+нарах.</vt:lpstr>
      <vt:lpstr>накладні витрати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2019-10-23T07:39:43Z</dcterms:modified>
</cp:coreProperties>
</file>